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lvidami\Desktop\"/>
    </mc:Choice>
  </mc:AlternateContent>
  <bookViews>
    <workbookView xWindow="0" yWindow="0" windowWidth="25125" windowHeight="13740" firstSheet="1" activeTab="1"/>
  </bookViews>
  <sheets>
    <sheet name="Plantilla Presupuesto" sheetId="2" state="hidden" r:id="rId1"/>
    <sheet name="Plantilla Ejecución " sheetId="3" r:id="rId2"/>
    <sheet name="Hoja1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5" i="3" l="1"/>
  <c r="AH56" i="3"/>
  <c r="AH57" i="3"/>
  <c r="AH58" i="3"/>
  <c r="AH59" i="3"/>
  <c r="AH60" i="3"/>
  <c r="AH49" i="3"/>
  <c r="AH45" i="3"/>
  <c r="AH28" i="3"/>
  <c r="AH30" i="3"/>
  <c r="AH32" i="3"/>
  <c r="AH34" i="3"/>
  <c r="AH37" i="3"/>
  <c r="AH38" i="3"/>
  <c r="AH39" i="3"/>
  <c r="AH40" i="3"/>
  <c r="AH41" i="3"/>
  <c r="AH42" i="3"/>
  <c r="AH43" i="3"/>
  <c r="AH27" i="3"/>
  <c r="AH20" i="3"/>
  <c r="AH21" i="3"/>
  <c r="AH22" i="3"/>
  <c r="D24" i="3"/>
  <c r="AH24" i="3" s="1"/>
  <c r="D17" i="3"/>
  <c r="AH17" i="3" s="1"/>
  <c r="D13" i="3"/>
  <c r="D12" i="3"/>
  <c r="D11" i="3"/>
  <c r="AH11" i="3" s="1"/>
  <c r="D54" i="3"/>
  <c r="AH54" i="3" s="1"/>
  <c r="D53" i="3"/>
  <c r="AH53" i="3" s="1"/>
  <c r="D35" i="3"/>
  <c r="AH35" i="3" s="1"/>
  <c r="D33" i="3"/>
  <c r="AH33" i="3" s="1"/>
  <c r="D31" i="3"/>
  <c r="AH31" i="3" s="1"/>
  <c r="D29" i="3"/>
  <c r="AH29" i="3" s="1"/>
  <c r="D23" i="3"/>
  <c r="AH23" i="3" s="1"/>
  <c r="D19" i="3"/>
  <c r="AH19" i="3" s="1"/>
  <c r="D18" i="3"/>
  <c r="AH18" i="3" s="1"/>
  <c r="AH12" i="3"/>
  <c r="AH16" i="3" l="1"/>
  <c r="G36" i="3"/>
  <c r="G16" i="3" l="1"/>
  <c r="C74" i="2" l="1"/>
  <c r="C85" i="2"/>
  <c r="F52" i="3" l="1"/>
  <c r="D74" i="2"/>
  <c r="D85" i="2"/>
  <c r="E16" i="4" l="1"/>
  <c r="G10" i="4" l="1"/>
  <c r="B82" i="2" l="1"/>
  <c r="B79" i="2"/>
  <c r="B76" i="2"/>
  <c r="B69" i="2"/>
  <c r="B66" i="2"/>
  <c r="B62" i="2"/>
  <c r="B61" i="2" s="1"/>
  <c r="B56" i="2"/>
  <c r="B55" i="2"/>
  <c r="B52" i="2"/>
  <c r="B43" i="2"/>
  <c r="B35" i="2"/>
  <c r="B34" i="2"/>
  <c r="B32" i="2"/>
  <c r="B31" i="2"/>
  <c r="B30" i="2"/>
  <c r="B29" i="2"/>
  <c r="B28" i="2"/>
  <c r="B27" i="2"/>
  <c r="B26" i="2"/>
  <c r="B24" i="2"/>
  <c r="B23" i="2"/>
  <c r="B22" i="2"/>
  <c r="B21" i="2"/>
  <c r="B20" i="2"/>
  <c r="B15" i="2" s="1"/>
  <c r="B19" i="2"/>
  <c r="B18" i="2"/>
  <c r="B17" i="2"/>
  <c r="B16" i="2"/>
  <c r="B14" i="2"/>
  <c r="B13" i="2"/>
  <c r="B12" i="2"/>
  <c r="B11" i="2"/>
  <c r="B10" i="2"/>
  <c r="B51" i="2" l="1"/>
  <c r="B25" i="2"/>
  <c r="B9" i="2"/>
  <c r="B84" i="2"/>
  <c r="B75" i="2"/>
  <c r="B73" i="2" l="1"/>
  <c r="B8" i="2" s="1"/>
  <c r="D67" i="3"/>
  <c r="D70" i="3"/>
  <c r="B86" i="2" l="1"/>
  <c r="D16" i="3" l="1"/>
  <c r="G77" i="3"/>
  <c r="D80" i="3"/>
  <c r="D62" i="3"/>
  <c r="E8" i="4"/>
  <c r="B6" i="4"/>
  <c r="K10" i="3"/>
  <c r="K62" i="3"/>
  <c r="K52" i="3"/>
  <c r="K36" i="3"/>
  <c r="K26" i="3"/>
  <c r="K16" i="3"/>
  <c r="K77" i="3"/>
  <c r="J10" i="3"/>
  <c r="J80" i="3"/>
  <c r="J77" i="3"/>
  <c r="I16" i="3"/>
  <c r="AH79" i="3"/>
  <c r="AH81" i="3"/>
  <c r="H80" i="3"/>
  <c r="I80" i="3"/>
  <c r="G80" i="3"/>
  <c r="F80" i="3"/>
  <c r="I77" i="3"/>
  <c r="H52" i="3"/>
  <c r="H44" i="3"/>
  <c r="H77" i="3"/>
  <c r="H36" i="3"/>
  <c r="O83" i="3"/>
  <c r="N83" i="3"/>
  <c r="M83" i="3"/>
  <c r="L83" i="3"/>
  <c r="K83" i="3"/>
  <c r="K85" i="3" s="1"/>
  <c r="J83" i="3"/>
  <c r="I83" i="3"/>
  <c r="H83" i="3"/>
  <c r="G83" i="3"/>
  <c r="F83" i="3"/>
  <c r="E83" i="3"/>
  <c r="G26" i="3"/>
  <c r="G52" i="3"/>
  <c r="G62" i="3"/>
  <c r="G44" i="3"/>
  <c r="F77" i="3"/>
  <c r="D77" i="2" l="1"/>
  <c r="C77" i="2"/>
  <c r="G85" i="3"/>
  <c r="I85" i="3"/>
  <c r="D78" i="2"/>
  <c r="C78" i="2"/>
  <c r="D76" i="3"/>
  <c r="D85" i="3"/>
  <c r="H85" i="3"/>
  <c r="D80" i="2"/>
  <c r="F80" i="2" s="1"/>
  <c r="C80" i="2"/>
  <c r="E80" i="2" s="1"/>
  <c r="I76" i="3"/>
  <c r="AH77" i="3"/>
  <c r="J85" i="3"/>
  <c r="J76" i="3"/>
  <c r="I10" i="3"/>
  <c r="G76" i="3"/>
  <c r="G10" i="3"/>
  <c r="D76" i="2" l="1"/>
  <c r="C76" i="2"/>
  <c r="G74" i="3"/>
  <c r="G9" i="3"/>
  <c r="E4" i="4" s="1"/>
  <c r="G87" i="3" l="1"/>
  <c r="F85" i="3"/>
  <c r="F76" i="3"/>
  <c r="H16" i="3"/>
  <c r="J16" i="3"/>
  <c r="L16" i="3"/>
  <c r="M16" i="3"/>
  <c r="N16" i="3"/>
  <c r="O16" i="3"/>
  <c r="H26" i="3"/>
  <c r="I26" i="3"/>
  <c r="J26" i="3"/>
  <c r="L26" i="3"/>
  <c r="M26" i="3"/>
  <c r="N26" i="3"/>
  <c r="O26" i="3"/>
  <c r="F36" i="3"/>
  <c r="I36" i="3"/>
  <c r="J36" i="3"/>
  <c r="L36" i="3"/>
  <c r="M36" i="3"/>
  <c r="N36" i="3"/>
  <c r="O36" i="3"/>
  <c r="F44" i="3"/>
  <c r="I44" i="3"/>
  <c r="J44" i="3"/>
  <c r="K44" i="3"/>
  <c r="L44" i="3"/>
  <c r="M44" i="3"/>
  <c r="N44" i="3"/>
  <c r="O44" i="3"/>
  <c r="F62" i="3"/>
  <c r="H62" i="3"/>
  <c r="I62" i="3"/>
  <c r="J62" i="3"/>
  <c r="L62" i="3"/>
  <c r="M62" i="3"/>
  <c r="N62" i="3"/>
  <c r="O62" i="3"/>
  <c r="L52" i="3"/>
  <c r="M52" i="3"/>
  <c r="N52" i="3"/>
  <c r="O52" i="3"/>
  <c r="I52" i="3"/>
  <c r="J52" i="3"/>
  <c r="E62" i="3"/>
  <c r="E77" i="3"/>
  <c r="E76" i="3" s="1"/>
  <c r="J9" i="3" l="1"/>
  <c r="K9" i="3"/>
  <c r="F26" i="3"/>
  <c r="F10" i="3"/>
  <c r="E44" i="3"/>
  <c r="E85" i="3"/>
  <c r="E52" i="3"/>
  <c r="E36" i="3"/>
  <c r="B3" i="4" l="1"/>
  <c r="B10" i="4" s="1"/>
  <c r="E26" i="3"/>
  <c r="E10" i="3"/>
  <c r="E16" i="3"/>
  <c r="AH70" i="3"/>
  <c r="AH67" i="3"/>
  <c r="O10" i="3"/>
  <c r="N10" i="3"/>
  <c r="M10" i="3"/>
  <c r="L10" i="3"/>
  <c r="L74" i="3" s="1"/>
  <c r="I74" i="3"/>
  <c r="I87" i="3" s="1"/>
  <c r="H10" i="3"/>
  <c r="H74" i="3" s="1"/>
  <c r="H87" i="3" s="1"/>
  <c r="D10" i="3"/>
  <c r="A2" i="3"/>
  <c r="E9" i="3" l="1"/>
  <c r="E74" i="3"/>
  <c r="C66" i="2"/>
  <c r="D66" i="2"/>
  <c r="C69" i="2"/>
  <c r="D69" i="2"/>
  <c r="L9" i="3"/>
  <c r="E87" i="3"/>
  <c r="B11" i="4"/>
  <c r="H9" i="3"/>
  <c r="I9" i="3"/>
  <c r="O9" i="3"/>
  <c r="O74" i="3"/>
  <c r="N9" i="3"/>
  <c r="N74" i="3"/>
  <c r="M9" i="3"/>
  <c r="M74" i="3"/>
  <c r="K74" i="3"/>
  <c r="K87" i="3" s="1"/>
  <c r="J74" i="3"/>
  <c r="J87" i="3" s="1"/>
  <c r="D44" i="3"/>
  <c r="D36" i="3"/>
  <c r="AH36" i="3" s="1"/>
  <c r="AH66" i="3"/>
  <c r="D65" i="2" l="1"/>
  <c r="C65" i="2"/>
  <c r="D26" i="3"/>
  <c r="D52" i="3"/>
  <c r="D74" i="3" l="1"/>
  <c r="D87" i="3" s="1"/>
  <c r="D9" i="3"/>
  <c r="D36" i="2"/>
  <c r="F36" i="2" s="1"/>
  <c r="C36" i="2"/>
  <c r="E36" i="2" s="1"/>
  <c r="AH84" i="3"/>
  <c r="C83" i="2" s="1"/>
  <c r="AH82" i="3"/>
  <c r="C81" i="2" s="1"/>
  <c r="AH73" i="3"/>
  <c r="AH72" i="3"/>
  <c r="AH71" i="3"/>
  <c r="AH69" i="3"/>
  <c r="AH68" i="3"/>
  <c r="AH65" i="3"/>
  <c r="AH64" i="3"/>
  <c r="AH63" i="3"/>
  <c r="AH61" i="3"/>
  <c r="AH51" i="3"/>
  <c r="AH50" i="3"/>
  <c r="AH48" i="3"/>
  <c r="D33" i="2"/>
  <c r="D41" i="2" l="1"/>
  <c r="C41" i="2"/>
  <c r="D38" i="2"/>
  <c r="C38" i="2"/>
  <c r="D42" i="2"/>
  <c r="F42" i="2" s="1"/>
  <c r="C42" i="2"/>
  <c r="E42" i="2" s="1"/>
  <c r="D47" i="2"/>
  <c r="C47" i="2"/>
  <c r="D60" i="2"/>
  <c r="C60" i="2"/>
  <c r="D67" i="2"/>
  <c r="C67" i="2"/>
  <c r="D72" i="2"/>
  <c r="C72" i="2"/>
  <c r="D37" i="2"/>
  <c r="C37" i="2"/>
  <c r="D46" i="2"/>
  <c r="C46" i="2"/>
  <c r="D50" i="2"/>
  <c r="C50" i="2"/>
  <c r="D55" i="2"/>
  <c r="F55" i="2" s="1"/>
  <c r="C55" i="2"/>
  <c r="E55" i="2" s="1"/>
  <c r="D59" i="2"/>
  <c r="F59" i="2" s="1"/>
  <c r="C59" i="2"/>
  <c r="E59" i="2" s="1"/>
  <c r="D64" i="2"/>
  <c r="C64" i="2"/>
  <c r="D71" i="2"/>
  <c r="C71" i="2"/>
  <c r="D39" i="2"/>
  <c r="F39" i="2" s="1"/>
  <c r="C39" i="2"/>
  <c r="E39" i="2" s="1"/>
  <c r="D53" i="2"/>
  <c r="F53" i="2" s="1"/>
  <c r="C53" i="2"/>
  <c r="E53" i="2" s="1"/>
  <c r="D57" i="2"/>
  <c r="C57" i="2"/>
  <c r="D62" i="2"/>
  <c r="F62" i="2" s="1"/>
  <c r="C62" i="2"/>
  <c r="E62" i="2" s="1"/>
  <c r="D68" i="2"/>
  <c r="C68" i="2"/>
  <c r="D29" i="2"/>
  <c r="F29" i="2" s="1"/>
  <c r="C29" i="2"/>
  <c r="E29" i="2" s="1"/>
  <c r="D40" i="2"/>
  <c r="C40" i="2"/>
  <c r="D45" i="2"/>
  <c r="C45" i="2"/>
  <c r="D49" i="2"/>
  <c r="C49" i="2"/>
  <c r="D54" i="2"/>
  <c r="C54" i="2"/>
  <c r="D58" i="2"/>
  <c r="F58" i="2" s="1"/>
  <c r="C58" i="2"/>
  <c r="E58" i="2" s="1"/>
  <c r="D63" i="2"/>
  <c r="F63" i="2" s="1"/>
  <c r="C63" i="2"/>
  <c r="E63" i="2" s="1"/>
  <c r="D70" i="2"/>
  <c r="C70" i="2"/>
  <c r="D48" i="2"/>
  <c r="C48" i="2"/>
  <c r="D44" i="2"/>
  <c r="F44" i="2" s="1"/>
  <c r="C44" i="2"/>
  <c r="D56" i="2"/>
  <c r="F56" i="2" s="1"/>
  <c r="C56" i="2"/>
  <c r="E56" i="2" s="1"/>
  <c r="D31" i="2"/>
  <c r="F31" i="2" s="1"/>
  <c r="C31" i="2"/>
  <c r="E31" i="2" s="1"/>
  <c r="D52" i="2"/>
  <c r="F52" i="2" s="1"/>
  <c r="C52" i="2"/>
  <c r="E52" i="2" s="1"/>
  <c r="D34" i="2"/>
  <c r="F34" i="2" s="1"/>
  <c r="C34" i="2"/>
  <c r="E34" i="2" s="1"/>
  <c r="D32" i="2"/>
  <c r="F32" i="2" s="1"/>
  <c r="C32" i="2"/>
  <c r="E32" i="2" s="1"/>
  <c r="D30" i="2"/>
  <c r="F30" i="2" s="1"/>
  <c r="C30" i="2"/>
  <c r="E30" i="2" s="1"/>
  <c r="AH83" i="3"/>
  <c r="D83" i="2"/>
  <c r="AH80" i="3"/>
  <c r="C79" i="2" s="1"/>
  <c r="E79" i="2" s="1"/>
  <c r="D81" i="2"/>
  <c r="AH44" i="3"/>
  <c r="AH62" i="3"/>
  <c r="AH52" i="3"/>
  <c r="D35" i="2" l="1"/>
  <c r="F35" i="2" s="1"/>
  <c r="C35" i="2"/>
  <c r="E35" i="2" s="1"/>
  <c r="D61" i="2"/>
  <c r="F61" i="2" s="1"/>
  <c r="C61" i="2"/>
  <c r="E61" i="2" s="1"/>
  <c r="D82" i="2"/>
  <c r="C82" i="2"/>
  <c r="D43" i="2"/>
  <c r="F43" i="2" s="1"/>
  <c r="C43" i="2"/>
  <c r="D51" i="2"/>
  <c r="F51" i="2" s="1"/>
  <c r="C51" i="2"/>
  <c r="AH76" i="3"/>
  <c r="D79" i="2"/>
  <c r="F79" i="2" s="1"/>
  <c r="U9" i="3"/>
  <c r="V9" i="3" s="1"/>
  <c r="W9" i="3" s="1"/>
  <c r="X9" i="3" s="1"/>
  <c r="Y9" i="3" s="1"/>
  <c r="Z9" i="3" s="1"/>
  <c r="AB9" i="3" s="1"/>
  <c r="AH85" i="3" l="1"/>
  <c r="C75" i="2"/>
  <c r="E75" i="2" s="1"/>
  <c r="E43" i="2"/>
  <c r="C88" i="2"/>
  <c r="D75" i="2"/>
  <c r="F75" i="2" s="1"/>
  <c r="AA8" i="3"/>
  <c r="AB8" i="3" s="1"/>
  <c r="D84" i="2" l="1"/>
  <c r="F84" i="2" s="1"/>
  <c r="C84" i="2"/>
  <c r="E84" i="2" s="1"/>
  <c r="AH13" i="3"/>
  <c r="AH14" i="3"/>
  <c r="AH10" i="3" l="1"/>
  <c r="D28" i="2"/>
  <c r="F28" i="2" s="1"/>
  <c r="C28" i="2"/>
  <c r="E28" i="2" s="1"/>
  <c r="D27" i="2"/>
  <c r="F27" i="2" s="1"/>
  <c r="C27" i="2"/>
  <c r="E27" i="2" s="1"/>
  <c r="C26" i="2"/>
  <c r="E26" i="2" s="1"/>
  <c r="D26" i="2"/>
  <c r="F26" i="2" s="1"/>
  <c r="D24" i="2"/>
  <c r="F24" i="2" s="1"/>
  <c r="C24" i="2"/>
  <c r="E24" i="2" s="1"/>
  <c r="D22" i="2"/>
  <c r="F22" i="2" s="1"/>
  <c r="C22" i="2"/>
  <c r="E22" i="2" s="1"/>
  <c r="D23" i="2"/>
  <c r="F23" i="2" s="1"/>
  <c r="C23" i="2"/>
  <c r="E23" i="2" s="1"/>
  <c r="D21" i="2"/>
  <c r="F21" i="2" s="1"/>
  <c r="C21" i="2"/>
  <c r="E21" i="2" s="1"/>
  <c r="D20" i="2"/>
  <c r="F20" i="2" s="1"/>
  <c r="C20" i="2"/>
  <c r="E20" i="2" s="1"/>
  <c r="D19" i="2"/>
  <c r="F19" i="2" s="1"/>
  <c r="C19" i="2"/>
  <c r="E19" i="2" s="1"/>
  <c r="D18" i="2"/>
  <c r="F18" i="2" s="1"/>
  <c r="C18" i="2"/>
  <c r="E18" i="2" s="1"/>
  <c r="D17" i="2"/>
  <c r="F17" i="2" s="1"/>
  <c r="C17" i="2"/>
  <c r="E17" i="2" s="1"/>
  <c r="D14" i="2"/>
  <c r="F14" i="2" s="1"/>
  <c r="C14" i="2"/>
  <c r="E14" i="2" s="1"/>
  <c r="D11" i="2"/>
  <c r="F11" i="2" s="1"/>
  <c r="C11" i="2"/>
  <c r="E11" i="2" s="1"/>
  <c r="D10" i="2"/>
  <c r="F10" i="2" s="1"/>
  <c r="C10" i="2"/>
  <c r="E10" i="2" s="1"/>
  <c r="D12" i="2"/>
  <c r="F12" i="2" s="1"/>
  <c r="C12" i="2"/>
  <c r="E12" i="2" s="1"/>
  <c r="D13" i="2"/>
  <c r="F13" i="2" s="1"/>
  <c r="C13" i="2"/>
  <c r="E13" i="2" s="1"/>
  <c r="AH26" i="3"/>
  <c r="D25" i="2" l="1"/>
  <c r="F25" i="2" s="1"/>
  <c r="C25" i="2"/>
  <c r="E25" i="2" s="1"/>
  <c r="D9" i="2"/>
  <c r="F9" i="2" s="1"/>
  <c r="C9" i="2"/>
  <c r="F16" i="3"/>
  <c r="F9" i="3" s="1"/>
  <c r="E10" i="4" s="1"/>
  <c r="C16" i="2"/>
  <c r="E16" i="2" s="1"/>
  <c r="E15" i="4" l="1"/>
  <c r="E17" i="4" s="1"/>
  <c r="E9" i="2"/>
  <c r="D16" i="2"/>
  <c r="F16" i="2" s="1"/>
  <c r="F74" i="3"/>
  <c r="F87" i="3" s="1"/>
  <c r="H76" i="3"/>
  <c r="AH74" i="3" l="1"/>
  <c r="C15" i="2"/>
  <c r="AH9" i="3"/>
  <c r="D8" i="2" s="1"/>
  <c r="F8" i="2" s="1"/>
  <c r="D15" i="2"/>
  <c r="F15" i="2" s="1"/>
  <c r="C73" i="2" l="1"/>
  <c r="C91" i="2" s="1"/>
  <c r="AH87" i="3"/>
  <c r="D86" i="2" s="1"/>
  <c r="F86" i="2" s="1"/>
  <c r="D73" i="2"/>
  <c r="F73" i="2" s="1"/>
  <c r="E15" i="2"/>
  <c r="C8" i="2"/>
  <c r="E73" i="2" l="1"/>
  <c r="C86" i="2"/>
  <c r="E86" i="2" s="1"/>
  <c r="E8" i="2"/>
  <c r="C90" i="2"/>
</calcChain>
</file>

<file path=xl/sharedStrings.xml><?xml version="1.0" encoding="utf-8"?>
<sst xmlns="http://schemas.openxmlformats.org/spreadsheetml/2006/main" count="207" uniqueCount="128">
  <si>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</si>
  <si>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</si>
  <si>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</si>
  <si>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</si>
  <si>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</si>
  <si>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</si>
  <si>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</si>
  <si>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</si>
  <si>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</si>
  <si>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</si>
  <si>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</si>
  <si>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</si>
  <si>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</si>
  <si>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</si>
  <si>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</si>
  <si>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</si>
  <si>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</si>
  <si>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</si>
  <si>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</si>
  <si>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</si>
  <si>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</si>
  <si>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</si>
  <si>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</si>
  <si>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</si>
  <si>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</si>
  <si>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</si>
  <si>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</si>
  <si>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</si>
  <si>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</si>
  <si>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</si>
  <si>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</si>
  <si>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</si>
  <si>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</si>
  <si>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</si>
  <si>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</si>
  <si>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</si>
  <si>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</si>
  <si>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</si>
  <si>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</si>
  <si>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</si>
  <si>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</si>
  <si>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</si>
  <si>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</si>
  <si>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</si>
  <si>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</si>
  <si>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</si>
  <si>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</si>
  <si>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</si>
  <si>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</si>
  <si>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</si>
  <si>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</si>
  <si>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</si>
  <si>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</si>
  <si>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</si>
  <si>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</si>
  <si>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</si>
  <si>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</si>
  <si>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</si>
  <si>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</si>
  <si>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</si>
  <si>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</si>
  <si>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</si>
  <si>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</si>
  <si>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</si>
  <si>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</si>
  <si>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</si>
  <si>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</si>
  <si>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</si>
  <si>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</si>
  <si>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</si>
  <si>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</si>
  <si>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</si>
  <si>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</si>
  <si>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</si>
  <si>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</si>
  <si>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</si>
  <si>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</si>
  <si>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</si>
  <si>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</si>
  <si>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</si>
  <si>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</si>
  <si>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</si>
  <si>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</si>
  <si>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</si>
  <si>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</si>
  <si>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</si>
  <si>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</si>
  <si>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</si>
  <si>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</si>
  <si>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</si>
  <si>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</si>
  <si>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</si>
  <si>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</si>
  <si>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</si>
  <si>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</si>
  <si>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</si>
  <si>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</si>
  <si>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</si>
  <si>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</si>
  <si>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</si>
  <si>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</si>
  <si>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</si>
  <si>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Fecha de imputación: hasta el [día] de [mes] del [año]</t>
  </si>
  <si>
    <t>Fuente: [fuente]</t>
  </si>
  <si>
    <t xml:space="preserve">Ejecución de Gastos y Aplicaciones Financieras </t>
  </si>
  <si>
    <t xml:space="preserve">Presupuesto de Gastos y Aplicaciones Financieras </t>
  </si>
  <si>
    <t xml:space="preserve">TOTAL APLICACIONES FINANCIERAS   </t>
  </si>
  <si>
    <t>CONSEJO ESTATAL DEL AZUCAR (CEA)</t>
  </si>
  <si>
    <t>Transf. Y Otras</t>
  </si>
  <si>
    <t>Año [2021]</t>
  </si>
  <si>
    <t>VALOR DE LA PAGINA DE LA EJECUCION</t>
  </si>
  <si>
    <t>VALOR E4</t>
  </si>
  <si>
    <t>Gral</t>
  </si>
  <si>
    <t>Presupuesto 2020</t>
  </si>
  <si>
    <t>Fecha de registro: hasta el [31] de [01] del [2021]</t>
  </si>
  <si>
    <t>Hector J.Ricart Guerrero</t>
  </si>
  <si>
    <t xml:space="preserve">             Director Administrativo</t>
  </si>
  <si>
    <r>
      <t xml:space="preserve">              </t>
    </r>
    <r>
      <rPr>
        <b/>
        <u/>
        <sz val="11"/>
        <color theme="1"/>
        <rFont val="Calibri"/>
        <family val="2"/>
        <scheme val="minor"/>
      </rPr>
      <t>Sr. Cecilio Del Villar Reyes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</t>
    </r>
    <r>
      <rPr>
        <b/>
        <u/>
        <sz val="11"/>
        <color theme="1"/>
        <rFont val="Calibri"/>
        <family val="2"/>
        <scheme val="minor"/>
      </rPr>
      <t>Hector J. Ricart Guerrero</t>
    </r>
  </si>
  <si>
    <t>Marzo</t>
  </si>
  <si>
    <t>REALIZADO A LA FECHA</t>
  </si>
  <si>
    <t>% Ejec</t>
  </si>
  <si>
    <t>% por eje Ejec</t>
  </si>
  <si>
    <t>Año 2022</t>
  </si>
  <si>
    <t xml:space="preserve">                    Director Financiero                                                                                                                     Director Administrativo</t>
  </si>
  <si>
    <t>Presupuesto</t>
  </si>
  <si>
    <t>pres.modif.</t>
  </si>
  <si>
    <t>Ejecutado</t>
  </si>
  <si>
    <t>GASTO DEVENGADO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</si>
</sst>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\ _€_-;\-* #,##0\ _€_-;_-* &quot;-&quot;\ _€_-;_-@_-"/>
    <numFmt numFmtId="165" formatCode="_-* #,##0.00\ _€_-;\-* #,##0.00\ _€_-;_-* &quot;-&quot;??\ _€_-;_-@_-"/>
    <numFmt numFmtId="166" formatCode="_(* #,##0_);_(* \(#,##0\);_(* &quot;-&quot;??_);_(@_)"/>
    <numFmt numFmtId="167" formatCode="#,##0.00;[Red]#,##0.00"/>
    <numFmt numFmtId="168" formatCode="#,##0;[Red]#,##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59996337778862885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6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166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2" fillId="3" borderId="0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3" fontId="1" fillId="0" borderId="0" xfId="1" applyFont="1" applyProtection="1">
      <protection locked="0"/>
    </xf>
    <xf numFmtId="166" fontId="1" fillId="0" borderId="0" xfId="0" applyNumberFormat="1" applyFont="1" applyAlignment="1" applyProtection="1">
      <alignment vertical="center" wrapText="1"/>
      <protection locked="0"/>
    </xf>
    <xf numFmtId="166" fontId="0" fillId="0" borderId="0" xfId="0" applyNumberFormat="1" applyAlignment="1" applyProtection="1">
      <alignment vertical="center" wrapText="1"/>
      <protection locked="0"/>
    </xf>
    <xf numFmtId="166" fontId="0" fillId="0" borderId="0" xfId="0" applyNumberFormat="1" applyProtection="1">
      <protection locked="0"/>
    </xf>
    <xf numFmtId="166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Protection="1">
      <protection locked="0"/>
    </xf>
    <xf numFmtId="3" fontId="1" fillId="0" borderId="0" xfId="1" applyNumberFormat="1" applyFont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2" fillId="3" borderId="2" xfId="0" applyFont="1" applyFill="1" applyBorder="1" applyAlignment="1" applyProtection="1">
      <alignment horizontal="left" vertical="center" wrapText="1"/>
    </xf>
    <xf numFmtId="165" fontId="5" fillId="0" borderId="0" xfId="0" applyNumberFormat="1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left" vertical="center" wrapText="1" indent="2"/>
    </xf>
    <xf numFmtId="0" fontId="0" fillId="0" borderId="0" xfId="0" applyAlignment="1" applyProtection="1">
      <alignment horizontal="left" vertical="center" wrapText="1"/>
    </xf>
    <xf numFmtId="0" fontId="0" fillId="0" borderId="0" xfId="0" applyProtection="1"/>
    <xf numFmtId="166" fontId="0" fillId="0" borderId="0" xfId="0" applyNumberFormat="1" applyAlignment="1" applyProtection="1">
      <alignment vertical="center" wrapText="1"/>
    </xf>
    <xf numFmtId="164" fontId="0" fillId="0" borderId="0" xfId="0" applyNumberFormat="1"/>
    <xf numFmtId="164" fontId="2" fillId="3" borderId="0" xfId="0" applyNumberFormat="1" applyFont="1" applyFill="1" applyBorder="1" applyAlignment="1">
      <alignment horizontal="center" vertical="center" wrapText="1"/>
    </xf>
    <xf numFmtId="164" fontId="2" fillId="0" borderId="0" xfId="1" applyNumberFormat="1" applyFont="1"/>
    <xf numFmtId="164" fontId="1" fillId="0" borderId="0" xfId="1" applyNumberFormat="1" applyFont="1" applyAlignment="1">
      <alignment vertical="center" wrapText="1"/>
    </xf>
    <xf numFmtId="164" fontId="0" fillId="0" borderId="0" xfId="1" applyNumberFormat="1" applyFont="1"/>
    <xf numFmtId="164" fontId="0" fillId="0" borderId="0" xfId="1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0" borderId="0" xfId="0" applyNumberFormat="1" applyFont="1"/>
    <xf numFmtId="164" fontId="1" fillId="0" borderId="0" xfId="1" applyNumberFormat="1" applyFont="1"/>
    <xf numFmtId="0" fontId="6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wrapText="1" indent="2"/>
    </xf>
    <xf numFmtId="164" fontId="2" fillId="0" borderId="1" xfId="1" applyNumberFormat="1" applyFont="1" applyBorder="1" applyAlignment="1">
      <alignment horizontal="left" vertical="center" wrapText="1"/>
    </xf>
    <xf numFmtId="164" fontId="4" fillId="0" borderId="0" xfId="1" applyNumberFormat="1" applyFont="1" applyAlignment="1">
      <alignment vertical="center" wrapText="1"/>
    </xf>
    <xf numFmtId="0" fontId="1" fillId="0" borderId="0" xfId="0" applyFont="1"/>
    <xf numFmtId="0" fontId="2" fillId="3" borderId="0" xfId="0" applyFont="1" applyFill="1" applyBorder="1" applyAlignment="1">
      <alignment horizontal="left" vertical="center" wrapText="1"/>
    </xf>
    <xf numFmtId="3" fontId="0" fillId="0" borderId="0" xfId="0" applyNumberFormat="1"/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164" fontId="1" fillId="0" borderId="0" xfId="1" applyNumberFormat="1" applyFont="1" applyAlignment="1">
      <alignment horizontal="center" vertical="center" wrapText="1"/>
    </xf>
    <xf numFmtId="166" fontId="1" fillId="2" borderId="2" xfId="0" applyNumberFormat="1" applyFont="1" applyFill="1" applyBorder="1" applyAlignment="1">
      <alignment vertical="center" wrapText="1"/>
    </xf>
    <xf numFmtId="3" fontId="0" fillId="0" borderId="0" xfId="0" applyNumberFormat="1" applyAlignment="1">
      <alignment horizontal="right"/>
    </xf>
    <xf numFmtId="3" fontId="1" fillId="0" borderId="0" xfId="0" applyNumberFormat="1" applyFont="1" applyAlignment="1">
      <alignment horizontal="right"/>
    </xf>
    <xf numFmtId="164" fontId="2" fillId="3" borderId="0" xfId="0" applyNumberFormat="1" applyFont="1" applyFill="1" applyBorder="1" applyAlignment="1">
      <alignment horizontal="left" vertical="center" wrapText="1"/>
    </xf>
    <xf numFmtId="3" fontId="0" fillId="0" borderId="0" xfId="0" applyNumberFormat="1" applyFont="1" applyAlignment="1">
      <alignment horizontal="right"/>
    </xf>
    <xf numFmtId="164" fontId="1" fillId="0" borderId="3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right"/>
    </xf>
    <xf numFmtId="167" fontId="0" fillId="0" borderId="0" xfId="0" applyNumberFormat="1"/>
    <xf numFmtId="167" fontId="2" fillId="0" borderId="0" xfId="0" applyNumberFormat="1" applyFont="1"/>
    <xf numFmtId="164" fontId="1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1" fillId="0" borderId="4" xfId="1" applyNumberFormat="1" applyFont="1" applyBorder="1" applyAlignment="1">
      <alignment vertical="center" wrapText="1"/>
    </xf>
    <xf numFmtId="0" fontId="0" fillId="0" borderId="0" xfId="0" applyAlignment="1"/>
    <xf numFmtId="164" fontId="0" fillId="0" borderId="0" xfId="0" applyNumberFormat="1" applyAlignment="1"/>
    <xf numFmtId="168" fontId="0" fillId="0" borderId="0" xfId="0" applyNumberFormat="1" applyAlignment="1"/>
    <xf numFmtId="0" fontId="7" fillId="0" borderId="0" xfId="0" applyFont="1" applyAlignment="1"/>
    <xf numFmtId="164" fontId="7" fillId="0" borderId="0" xfId="0" applyNumberFormat="1" applyFont="1" applyAlignment="1"/>
    <xf numFmtId="166" fontId="1" fillId="0" borderId="5" xfId="0" applyNumberFormat="1" applyFont="1" applyBorder="1" applyAlignment="1" applyProtection="1">
      <alignment vertical="center" wrapText="1"/>
      <protection locked="0"/>
    </xf>
    <xf numFmtId="165" fontId="0" fillId="0" borderId="6" xfId="0" applyNumberFormat="1" applyBorder="1" applyProtection="1"/>
    <xf numFmtId="166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/>
    <xf numFmtId="4" fontId="1" fillId="0" borderId="0" xfId="0" applyNumberFormat="1" applyFont="1"/>
    <xf numFmtId="43" fontId="4" fillId="0" borderId="0" xfId="1" applyFont="1" applyProtection="1">
      <protection locked="0"/>
    </xf>
    <xf numFmtId="10" fontId="0" fillId="0" borderId="0" xfId="0" applyNumberFormat="1" applyProtection="1">
      <protection locked="0"/>
    </xf>
    <xf numFmtId="10" fontId="2" fillId="3" borderId="0" xfId="0" applyNumberFormat="1" applyFont="1" applyFill="1" applyBorder="1" applyAlignment="1" applyProtection="1">
      <alignment horizontal="center" vertical="center" wrapText="1"/>
      <protection locked="0"/>
    </xf>
    <xf numFmtId="10" fontId="1" fillId="0" borderId="0" xfId="0" applyNumberFormat="1" applyFont="1" applyProtection="1">
      <protection locked="0"/>
    </xf>
    <xf numFmtId="10" fontId="0" fillId="0" borderId="0" xfId="0" applyNumberFormat="1" applyFont="1" applyProtection="1">
      <protection locked="0"/>
    </xf>
    <xf numFmtId="165" fontId="1" fillId="0" borderId="0" xfId="0" applyNumberFormat="1" applyFont="1" applyProtection="1">
      <protection locked="0"/>
    </xf>
    <xf numFmtId="165" fontId="0" fillId="0" borderId="0" xfId="0" applyNumberFormat="1" applyFont="1" applyProtection="1">
      <protection locked="0"/>
    </xf>
    <xf numFmtId="10" fontId="1" fillId="4" borderId="0" xfId="0" applyNumberFormat="1" applyFont="1" applyFill="1" applyProtection="1">
      <protection locked="0"/>
    </xf>
    <xf numFmtId="165" fontId="1" fillId="4" borderId="0" xfId="0" applyNumberFormat="1" applyFont="1" applyFill="1" applyProtection="1">
      <protection locked="0"/>
    </xf>
    <xf numFmtId="10" fontId="1" fillId="5" borderId="0" xfId="0" applyNumberFormat="1" applyFont="1" applyFill="1" applyProtection="1">
      <protection locked="0"/>
    </xf>
    <xf numFmtId="165" fontId="1" fillId="5" borderId="0" xfId="0" applyNumberFormat="1" applyFont="1" applyFill="1" applyProtection="1">
      <protection locked="0"/>
    </xf>
    <xf numFmtId="43" fontId="0" fillId="0" borderId="7" xfId="1" applyFont="1" applyBorder="1"/>
    <xf numFmtId="0" fontId="11" fillId="0" borderId="0" xfId="0" applyFont="1"/>
    <xf numFmtId="43" fontId="11" fillId="0" borderId="0" xfId="1" applyFont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2" fillId="4" borderId="0" xfId="0" applyFont="1" applyFill="1" applyAlignment="1"/>
    <xf numFmtId="0" fontId="1" fillId="0" borderId="8" xfId="0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5486401</xdr:colOff>
      <xdr:row>0</xdr:row>
      <xdr:rowOff>95250</xdr:rowOff>
    </xdr:from>
    <xdr:to>
      <xdr:col>1</xdr:col>
      <xdr:colOff>846733</xdr:colOff>
      <xdr:row>4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1" y="95250"/>
          <a:ext cx="1399182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249998</xdr:colOff>
      <xdr:row>1</xdr:row>
      <xdr:rowOff>0</xdr:rowOff>
    </xdr:from>
    <xdr:to>
      <xdr:col>14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2</xdr:col>
      <xdr:colOff>221782</xdr:colOff>
      <xdr:row>1</xdr:row>
      <xdr:rowOff>145675</xdr:rowOff>
    </xdr:from>
    <xdr:to>
      <xdr:col>35</xdr:col>
      <xdr:colOff>459440</xdr:colOff>
      <xdr:row>4</xdr:row>
      <xdr:rowOff>268940</xdr:rowOff>
    </xdr:to>
    <xdr:pic>
      <xdr:nvPicPr>
        <xdr:cNvPr id="4" name="Picture 1" descr="http://www.cea.gob.do/images/Logos/Logo-del-portal%20500x110px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54811" y="145675"/>
          <a:ext cx="4114894" cy="91888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4998944</xdr:colOff>
      <xdr:row>91</xdr:row>
      <xdr:rowOff>47065</xdr:rowOff>
    </xdr:from>
    <xdr:to>
      <xdr:col>3</xdr:col>
      <xdr:colOff>722779</xdr:colOff>
      <xdr:row>99</xdr:row>
      <xdr:rowOff>23533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8944" y="18592800"/>
          <a:ext cx="3254188" cy="15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89647</xdr:colOff>
      <xdr:row>91</xdr:row>
      <xdr:rowOff>33618</xdr:rowOff>
    </xdr:from>
    <xdr:to>
      <xdr:col>0</xdr:col>
      <xdr:colOff>3044078</xdr:colOff>
      <xdr:row>100</xdr:row>
      <xdr:rowOff>166968</xdr:rowOff>
    </xdr:to>
    <xdr:pic>
      <xdr:nvPicPr>
        <xdr:cNvPr id="6" name="Imagen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" y="18579353"/>
          <a:ext cx="2954431" cy="1881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93"/>
  <sheetViews>
    <sheetView showGridLines="0" workbookViewId="0">
      <selection activeCell="A27" sqref="A27"/>
    </sheetView>
  </sheetViews>
  <sheetFormatPr baseColWidth="10" defaultColWidth="9.140625" defaultRowHeight="15" x14ac:dyDescent="0.25"/>
  <cols>
    <col min="1" max="1" width="90.5703125" style="14" customWidth="1"/>
    <col min="2" max="2" width="18.28515625" style="14" bestFit="1" customWidth="1"/>
    <col min="3" max="3" width="18.28515625" style="14" hidden="1" customWidth="1"/>
    <col min="4" max="4" width="16.42578125" style="14" hidden="1" customWidth="1"/>
    <col min="5" max="5" width="13.140625" style="83" hidden="1" customWidth="1"/>
    <col min="6" max="6" width="0" style="14" hidden="1" customWidth="1"/>
    <col min="7" max="16384" width="9.140625" style="14"/>
  </cols>
  <sheetData>
    <row r="1" spans="1:7" ht="18.75" x14ac:dyDescent="0.3">
      <c r="A1" s="100"/>
      <c r="B1" s="100"/>
      <c r="C1" s="100"/>
      <c r="D1" s="100"/>
      <c r="F1" s="15" t="s">
        <v>39</v>
      </c>
    </row>
    <row r="2" spans="1:7" ht="18.75" x14ac:dyDescent="0.25">
      <c r="A2" s="100" t="s">
        <v>107</v>
      </c>
      <c r="B2" s="100"/>
      <c r="C2" s="100"/>
      <c r="D2" s="100"/>
      <c r="F2" s="16" t="s">
        <v>100</v>
      </c>
    </row>
    <row r="3" spans="1:7" ht="18.75" x14ac:dyDescent="0.25">
      <c r="A3" s="100" t="s">
        <v>109</v>
      </c>
      <c r="B3" s="100"/>
      <c r="C3" s="100"/>
      <c r="D3" s="100"/>
      <c r="F3" s="16" t="s">
        <v>101</v>
      </c>
    </row>
    <row r="4" spans="1:7" ht="18.75" x14ac:dyDescent="0.3">
      <c r="A4" s="102" t="s">
        <v>105</v>
      </c>
      <c r="B4" s="102"/>
      <c r="C4" s="102"/>
      <c r="D4" s="102"/>
      <c r="F4" s="15" t="s">
        <v>93</v>
      </c>
    </row>
    <row r="5" spans="1:7" x14ac:dyDescent="0.25">
      <c r="A5" s="101" t="s">
        <v>36</v>
      </c>
      <c r="B5" s="101"/>
      <c r="C5" s="101"/>
      <c r="D5" s="101"/>
      <c r="F5" s="16" t="s">
        <v>98</v>
      </c>
    </row>
    <row r="6" spans="1:7" x14ac:dyDescent="0.25">
      <c r="F6" s="16" t="s">
        <v>99</v>
      </c>
    </row>
    <row r="7" spans="1:7" ht="28.5" customHeight="1" x14ac:dyDescent="0.25">
      <c r="A7" s="17" t="s">
        <v>0</v>
      </c>
      <c r="B7" s="18" t="s">
        <v>37</v>
      </c>
      <c r="C7" s="18" t="s">
        <v>119</v>
      </c>
      <c r="D7" s="18" t="s">
        <v>38</v>
      </c>
      <c r="E7" s="84" t="s">
        <v>120</v>
      </c>
      <c r="F7" s="84" t="s">
        <v>121</v>
      </c>
    </row>
    <row r="8" spans="1:7" x14ac:dyDescent="0.25">
      <c r="A8" s="27" t="s">
        <v>1</v>
      </c>
      <c r="B8" s="77">
        <f>+B73</f>
        <v>1816138804</v>
      </c>
      <c r="C8" s="77">
        <f>+C9+C15+C25+C35+C43+C51</f>
        <v>99538031</v>
      </c>
      <c r="D8" s="77">
        <f>+'Plantilla Presupuesto'!B8-'Plantilla Ejecución '!AH9</f>
        <v>1716600773</v>
      </c>
      <c r="E8" s="85">
        <f>+C8/B8</f>
        <v>5.4807501927038829E-2</v>
      </c>
      <c r="F8" s="87">
        <f>+D8/B8</f>
        <v>0.94519249807296113</v>
      </c>
      <c r="G8" s="83"/>
    </row>
    <row r="9" spans="1:7" x14ac:dyDescent="0.25">
      <c r="A9" s="28" t="s">
        <v>2</v>
      </c>
      <c r="B9" s="20">
        <f>SUM(B10:B14)</f>
        <v>892044540</v>
      </c>
      <c r="C9" s="20">
        <f>+'Plantilla Ejecución '!AH10</f>
        <v>39118747</v>
      </c>
      <c r="D9" s="20">
        <f>+B9-'Plantilla Ejecución '!AH10</f>
        <v>852925793</v>
      </c>
      <c r="E9" s="85">
        <f>+C9/B9</f>
        <v>4.3852907837987551E-2</v>
      </c>
      <c r="F9" s="87">
        <f>+D9/B9</f>
        <v>0.95614709216201244</v>
      </c>
      <c r="G9" s="25"/>
    </row>
    <row r="10" spans="1:7" x14ac:dyDescent="0.25">
      <c r="A10" s="33" t="s">
        <v>3</v>
      </c>
      <c r="B10" s="21">
        <f>219168337+17832203+9200000+85607507+7132292+7000000+85421724+9048877+1000000+52211060+5204880+2000000+103802739+6572686+1500000+1400000+57628191+4802349+500000+37937012+2980000+8900000</f>
        <v>726849857</v>
      </c>
      <c r="C10" s="21">
        <f>+'Plantilla Ejecución '!AH11</f>
        <v>31903237</v>
      </c>
      <c r="D10" s="21">
        <f>+B10-'Plantilla Ejecución '!AH11</f>
        <v>694946620</v>
      </c>
      <c r="E10" s="83">
        <f>+C10/B10</f>
        <v>4.3892472004710047E-2</v>
      </c>
      <c r="F10" s="88">
        <f>+D10/B10</f>
        <v>0.95610752799528997</v>
      </c>
      <c r="G10" s="25"/>
    </row>
    <row r="11" spans="1:7" x14ac:dyDescent="0.25">
      <c r="A11" s="33" t="s">
        <v>4</v>
      </c>
      <c r="B11" s="21">
        <f>1322715+780350+262244+23164800+1494733+23798593+85134+132112</f>
        <v>51040681</v>
      </c>
      <c r="C11" s="21">
        <f>+'Plantilla Ejecución '!AH12</f>
        <v>5717460</v>
      </c>
      <c r="D11" s="21">
        <f>+B11-'Plantilla Ejecución '!AH12</f>
        <v>45323221</v>
      </c>
      <c r="E11" s="83">
        <f t="shared" ref="E11:E35" si="0">+C11/B11</f>
        <v>0.11201770603335014</v>
      </c>
      <c r="F11" s="88">
        <f t="shared" ref="F11:F73" si="1">+D11/B11</f>
        <v>0.88798229396664985</v>
      </c>
    </row>
    <row r="12" spans="1:7" x14ac:dyDescent="0.25">
      <c r="A12" s="33" t="s">
        <v>40</v>
      </c>
      <c r="B12" s="21">
        <f>11505600+3366000+1140000+1380000+780000</f>
        <v>18171600</v>
      </c>
      <c r="C12" s="21">
        <f>+'Plantilla Ejecución '!AH13</f>
        <v>1498050</v>
      </c>
      <c r="D12" s="21">
        <f>+B12-'Plantilla Ejecución '!AH13</f>
        <v>16673550</v>
      </c>
      <c r="E12" s="83">
        <f t="shared" si="0"/>
        <v>8.243908076338903E-2</v>
      </c>
      <c r="F12" s="88">
        <f t="shared" si="1"/>
        <v>0.91756091923661098</v>
      </c>
    </row>
    <row r="13" spans="1:7" x14ac:dyDescent="0.25">
      <c r="A13" s="33" t="s">
        <v>5</v>
      </c>
      <c r="B13" s="21">
        <f>120000+30000+31000+100000+9000+28000</f>
        <v>318000</v>
      </c>
      <c r="C13" s="21">
        <f>+'Plantilla Ejecución '!AH14</f>
        <v>0</v>
      </c>
      <c r="D13" s="21">
        <f>+B13-'Plantilla Ejecución '!AH14</f>
        <v>318000</v>
      </c>
      <c r="E13" s="83">
        <f t="shared" si="0"/>
        <v>0</v>
      </c>
      <c r="F13" s="88">
        <f t="shared" si="1"/>
        <v>1</v>
      </c>
    </row>
    <row r="14" spans="1:7" x14ac:dyDescent="0.25">
      <c r="A14" s="33" t="s">
        <v>6</v>
      </c>
      <c r="B14" s="21">
        <f>32208349+12649580+16011030+10748203+10874359+7719613+5453268</f>
        <v>95664402</v>
      </c>
      <c r="C14" s="21">
        <f>+'Plantilla Ejecución '!AH15</f>
        <v>0</v>
      </c>
      <c r="D14" s="21">
        <f>+B14-'Plantilla Ejecución '!AH15</f>
        <v>95664402</v>
      </c>
      <c r="E14" s="83">
        <f t="shared" si="0"/>
        <v>0</v>
      </c>
      <c r="F14" s="88">
        <f t="shared" si="1"/>
        <v>1</v>
      </c>
    </row>
    <row r="15" spans="1:7" x14ac:dyDescent="0.25">
      <c r="A15" s="28" t="s">
        <v>7</v>
      </c>
      <c r="B15" s="20">
        <f>SUM(B16:B24)</f>
        <v>127807012</v>
      </c>
      <c r="C15" s="20">
        <f>+'Plantilla Ejecución '!AH16</f>
        <v>25553733</v>
      </c>
      <c r="D15" s="19">
        <f>+B15-'Plantilla Ejecución '!AH16</f>
        <v>102253279</v>
      </c>
      <c r="E15" s="85">
        <f>+C15/B15</f>
        <v>0.19993999233782259</v>
      </c>
      <c r="F15" s="87">
        <f t="shared" si="1"/>
        <v>0.80006000766217744</v>
      </c>
    </row>
    <row r="16" spans="1:7" x14ac:dyDescent="0.25">
      <c r="A16" s="33" t="s">
        <v>8</v>
      </c>
      <c r="B16" s="21">
        <f>1719010+13890627+492172+6531642+20050000+46800+1010366</f>
        <v>43740617</v>
      </c>
      <c r="C16" s="21">
        <f>+'Plantilla Ejecución '!AH17</f>
        <v>1971125</v>
      </c>
      <c r="D16" s="21">
        <f>+B16-'Plantilla Ejecución '!AH17</f>
        <v>41769492</v>
      </c>
      <c r="E16" s="83">
        <f t="shared" si="0"/>
        <v>4.5063950515375678E-2</v>
      </c>
      <c r="F16" s="88">
        <f t="shared" si="1"/>
        <v>0.95493604948462429</v>
      </c>
    </row>
    <row r="17" spans="1:6" x14ac:dyDescent="0.25">
      <c r="A17" s="33" t="s">
        <v>9</v>
      </c>
      <c r="B17" s="21">
        <f>5438920+61080</f>
        <v>5500000</v>
      </c>
      <c r="C17" s="21">
        <f>+'Plantilla Ejecución '!AH18</f>
        <v>340124</v>
      </c>
      <c r="D17" s="21">
        <f>+B17-'Plantilla Ejecución '!AH18</f>
        <v>5159876</v>
      </c>
      <c r="E17" s="83">
        <f t="shared" si="0"/>
        <v>6.1840727272727269E-2</v>
      </c>
      <c r="F17" s="88">
        <f t="shared" si="1"/>
        <v>0.93815927272727273</v>
      </c>
    </row>
    <row r="18" spans="1:6" ht="18" customHeight="1" x14ac:dyDescent="0.25">
      <c r="A18" s="33" t="s">
        <v>10</v>
      </c>
      <c r="B18" s="21">
        <f>2687226+760200+1000000+250000+500000+260000</f>
        <v>5457426</v>
      </c>
      <c r="C18" s="21">
        <f>+'Plantilla Ejecución '!AH19</f>
        <v>115440</v>
      </c>
      <c r="D18" s="21">
        <f>+B18-'Plantilla Ejecución '!AH19</f>
        <v>5341986</v>
      </c>
      <c r="E18" s="83">
        <f t="shared" si="0"/>
        <v>2.1152829190904283E-2</v>
      </c>
      <c r="F18" s="88">
        <f t="shared" si="1"/>
        <v>0.97884717080909567</v>
      </c>
    </row>
    <row r="19" spans="1:6" x14ac:dyDescent="0.25">
      <c r="A19" s="33" t="s">
        <v>11</v>
      </c>
      <c r="B19" s="21">
        <f>1483094+1420000</f>
        <v>2903094</v>
      </c>
      <c r="C19" s="21">
        <f>+'Plantilla Ejecución '!AH20</f>
        <v>1856800</v>
      </c>
      <c r="D19" s="21">
        <f>+B19-'Plantilla Ejecución '!AH20</f>
        <v>1046294</v>
      </c>
      <c r="E19" s="83">
        <f t="shared" si="0"/>
        <v>0.63959348198852672</v>
      </c>
      <c r="F19" s="88">
        <f t="shared" si="1"/>
        <v>0.36040651801147328</v>
      </c>
    </row>
    <row r="20" spans="1:6" x14ac:dyDescent="0.25">
      <c r="A20" s="33" t="s">
        <v>12</v>
      </c>
      <c r="B20" s="21">
        <f>384000+80000+27441000</f>
        <v>27905000</v>
      </c>
      <c r="C20" s="21">
        <f>+'Plantilla Ejecución '!AH21</f>
        <v>67509</v>
      </c>
      <c r="D20" s="21">
        <f>+B20-'Plantilla Ejecución '!AH21</f>
        <v>27837491</v>
      </c>
      <c r="E20" s="83">
        <f t="shared" si="0"/>
        <v>2.4192438631069702E-3</v>
      </c>
      <c r="F20" s="88">
        <f t="shared" si="1"/>
        <v>0.99758075613689301</v>
      </c>
    </row>
    <row r="21" spans="1:6" x14ac:dyDescent="0.25">
      <c r="A21" s="33" t="s">
        <v>13</v>
      </c>
      <c r="B21" s="21">
        <f>5103308+5910352</f>
        <v>11013660</v>
      </c>
      <c r="C21" s="21">
        <f>+'Plantilla Ejecución '!AH22</f>
        <v>116776</v>
      </c>
      <c r="D21" s="21">
        <f>+B21-'Plantilla Ejecución '!AH22</f>
        <v>10896884</v>
      </c>
      <c r="E21" s="83">
        <f t="shared" si="0"/>
        <v>1.060283320894235E-2</v>
      </c>
      <c r="F21" s="88">
        <f t="shared" si="1"/>
        <v>0.9893971667910576</v>
      </c>
    </row>
    <row r="22" spans="1:6" x14ac:dyDescent="0.25">
      <c r="A22" s="33" t="s">
        <v>14</v>
      </c>
      <c r="B22" s="21">
        <f>1913400+6611919+908000+197060+425000</f>
        <v>10055379</v>
      </c>
      <c r="C22" s="21">
        <f>+'Plantilla Ejecución '!AH23</f>
        <v>8214163</v>
      </c>
      <c r="D22" s="21">
        <f>+B22-'Plantilla Ejecución '!AH23</f>
        <v>1841216</v>
      </c>
      <c r="E22" s="83">
        <f t="shared" si="0"/>
        <v>0.81689243140412704</v>
      </c>
      <c r="F22" s="88">
        <f t="shared" si="1"/>
        <v>0.1831075685958729</v>
      </c>
    </row>
    <row r="23" spans="1:6" x14ac:dyDescent="0.25">
      <c r="A23" s="33" t="s">
        <v>15</v>
      </c>
      <c r="B23" s="21">
        <f>17438500+371076+120000+250000+852260</f>
        <v>19031836</v>
      </c>
      <c r="C23" s="21">
        <f>+'Plantilla Ejecución '!AH24</f>
        <v>12871796</v>
      </c>
      <c r="D23" s="21">
        <f>+B23-'Plantilla Ejecución '!AH24</f>
        <v>6160040</v>
      </c>
      <c r="E23" s="83">
        <f t="shared" si="0"/>
        <v>0.67632970355566324</v>
      </c>
      <c r="F23" s="88">
        <f t="shared" si="1"/>
        <v>0.32367029644433676</v>
      </c>
    </row>
    <row r="24" spans="1:6" x14ac:dyDescent="0.25">
      <c r="A24" s="33" t="s">
        <v>41</v>
      </c>
      <c r="B24" s="21">
        <f>2000000+200000</f>
        <v>2200000</v>
      </c>
      <c r="C24" s="21">
        <f>+'Plantilla Ejecución '!AH25</f>
        <v>0</v>
      </c>
      <c r="D24" s="21">
        <f>+B24-'Plantilla Ejecución '!AH25</f>
        <v>2200000</v>
      </c>
      <c r="E24" s="83">
        <f t="shared" si="0"/>
        <v>0</v>
      </c>
      <c r="F24" s="88">
        <f t="shared" si="1"/>
        <v>1</v>
      </c>
    </row>
    <row r="25" spans="1:6" x14ac:dyDescent="0.25">
      <c r="A25" s="28" t="s">
        <v>16</v>
      </c>
      <c r="B25" s="20">
        <f>SUM(B26:B34)</f>
        <v>660393127</v>
      </c>
      <c r="C25" s="20">
        <f>+'Plantilla Ejecución '!AH26</f>
        <v>31685078</v>
      </c>
      <c r="D25" s="19">
        <f>+B25-'Plantilla Ejecución '!AH26</f>
        <v>628708049</v>
      </c>
      <c r="E25" s="85">
        <f t="shared" si="0"/>
        <v>4.7979115324742014E-2</v>
      </c>
      <c r="F25" s="87">
        <f t="shared" si="1"/>
        <v>0.95202088467525803</v>
      </c>
    </row>
    <row r="26" spans="1:6" x14ac:dyDescent="0.25">
      <c r="A26" s="33" t="s">
        <v>17</v>
      </c>
      <c r="B26" s="21">
        <f>1744565+314073+172476+113712+600000+419636386+1906000+856000</f>
        <v>425343212</v>
      </c>
      <c r="C26" s="21">
        <f>+'Plantilla Ejecución '!AH27</f>
        <v>19335</v>
      </c>
      <c r="D26" s="21">
        <f>+B26-'Plantilla Ejecución '!AH27</f>
        <v>425323877</v>
      </c>
      <c r="E26" s="83">
        <f t="shared" si="0"/>
        <v>4.5457408169476092E-5</v>
      </c>
      <c r="F26" s="88">
        <f t="shared" si="1"/>
        <v>0.99995454259183048</v>
      </c>
    </row>
    <row r="27" spans="1:6" x14ac:dyDescent="0.25">
      <c r="A27" s="33" t="s">
        <v>18</v>
      </c>
      <c r="B27" s="21">
        <f>1000+128750+22400+11163260+80250</f>
        <v>11395660</v>
      </c>
      <c r="C27" s="21">
        <f>+'Plantilla Ejecución '!AH28</f>
        <v>0</v>
      </c>
      <c r="D27" s="21">
        <f>+B27-'Plantilla Ejecución '!AH28</f>
        <v>11395660</v>
      </c>
      <c r="E27" s="83">
        <f t="shared" si="0"/>
        <v>0</v>
      </c>
      <c r="F27" s="88">
        <f t="shared" si="1"/>
        <v>1</v>
      </c>
    </row>
    <row r="28" spans="1:6" x14ac:dyDescent="0.25">
      <c r="A28" s="33" t="s">
        <v>19</v>
      </c>
      <c r="B28" s="21">
        <f>941297+1619584+392258+815810+181030</f>
        <v>3949979</v>
      </c>
      <c r="C28" s="21">
        <f>+'Plantilla Ejecución '!AH29</f>
        <v>489291</v>
      </c>
      <c r="D28" s="21">
        <f>+B28-'Plantilla Ejecución '!AH29</f>
        <v>3460688</v>
      </c>
      <c r="E28" s="83">
        <f t="shared" si="0"/>
        <v>0.12387179779943133</v>
      </c>
      <c r="F28" s="88">
        <f t="shared" si="1"/>
        <v>0.87612820220056864</v>
      </c>
    </row>
    <row r="29" spans="1:6" x14ac:dyDescent="0.25">
      <c r="A29" s="33" t="s">
        <v>20</v>
      </c>
      <c r="B29" s="21">
        <f>657148+1667900</f>
        <v>2325048</v>
      </c>
      <c r="C29" s="21">
        <f>+'Plantilla Ejecución '!AH30</f>
        <v>0</v>
      </c>
      <c r="D29" s="21">
        <f>+B29-'Plantilla Ejecución '!AH30</f>
        <v>2325048</v>
      </c>
      <c r="E29" s="83">
        <f t="shared" si="0"/>
        <v>0</v>
      </c>
      <c r="F29" s="88">
        <f t="shared" si="1"/>
        <v>1</v>
      </c>
    </row>
    <row r="30" spans="1:6" x14ac:dyDescent="0.25">
      <c r="A30" s="33" t="s">
        <v>21</v>
      </c>
      <c r="B30" s="21">
        <f>379600+3878316+7790+3000000+11349530+1565770+343448</f>
        <v>20524454</v>
      </c>
      <c r="C30" s="21">
        <f>+'Plantilla Ejecución '!AH31</f>
        <v>2902705</v>
      </c>
      <c r="D30" s="21">
        <f>+B30-'Plantilla Ejecución '!AH31</f>
        <v>17621749</v>
      </c>
      <c r="E30" s="83">
        <f t="shared" si="0"/>
        <v>0.14142666109412705</v>
      </c>
      <c r="F30" s="88">
        <f t="shared" si="1"/>
        <v>0.85857333890587295</v>
      </c>
    </row>
    <row r="31" spans="1:6" x14ac:dyDescent="0.25">
      <c r="A31" s="33" t="s">
        <v>22</v>
      </c>
      <c r="B31" s="21">
        <f>102318+7584314+3532409+25936784+2302360+1556130</f>
        <v>41014315</v>
      </c>
      <c r="C31" s="21">
        <f>+'Plantilla Ejecución '!AH32</f>
        <v>8935220</v>
      </c>
      <c r="D31" s="21">
        <f>+B31-'Plantilla Ejecución '!AH32</f>
        <v>32079095</v>
      </c>
      <c r="E31" s="83">
        <f t="shared" si="0"/>
        <v>0.21785613145068983</v>
      </c>
      <c r="F31" s="88">
        <f t="shared" si="1"/>
        <v>0.78214386854931017</v>
      </c>
    </row>
    <row r="32" spans="1:6" x14ac:dyDescent="0.25">
      <c r="A32" s="33" t="s">
        <v>23</v>
      </c>
      <c r="B32" s="21">
        <f>6360584+21109187+1844744+1204810+91249351+1626435+1159461</f>
        <v>124554572</v>
      </c>
      <c r="C32" s="21">
        <f>+'Plantilla Ejecución '!AH33</f>
        <v>12021833</v>
      </c>
      <c r="D32" s="21">
        <f>+B32-'Plantilla Ejecución '!AH33</f>
        <v>112532739</v>
      </c>
      <c r="E32" s="83">
        <f t="shared" si="0"/>
        <v>9.6518600698174292E-2</v>
      </c>
      <c r="F32" s="88">
        <f t="shared" si="1"/>
        <v>0.90348139930182569</v>
      </c>
    </row>
    <row r="33" spans="1:6" x14ac:dyDescent="0.25">
      <c r="A33" s="33" t="s">
        <v>42</v>
      </c>
      <c r="B33" s="21">
        <v>0</v>
      </c>
      <c r="C33" s="21">
        <v>0</v>
      </c>
      <c r="D33" s="21">
        <f>+B33-'Plantilla Ejecución '!AH34</f>
        <v>0</v>
      </c>
      <c r="E33" s="83">
        <v>0</v>
      </c>
      <c r="F33" s="88">
        <v>0</v>
      </c>
    </row>
    <row r="34" spans="1:6" x14ac:dyDescent="0.25">
      <c r="A34" s="33" t="s">
        <v>24</v>
      </c>
      <c r="B34" s="21">
        <f>4329009+8726025+620405+1291375+13948901+567267+1802905</f>
        <v>31285887</v>
      </c>
      <c r="C34" s="21">
        <f>+'Plantilla Ejecución '!AH35</f>
        <v>7316694</v>
      </c>
      <c r="D34" s="21">
        <f>+B34-'Plantilla Ejecución '!AH35</f>
        <v>23969193</v>
      </c>
      <c r="E34" s="83">
        <f t="shared" si="0"/>
        <v>0.23386564044036853</v>
      </c>
      <c r="F34" s="88">
        <f t="shared" si="1"/>
        <v>0.76613435955963149</v>
      </c>
    </row>
    <row r="35" spans="1:6" x14ac:dyDescent="0.25">
      <c r="A35" s="28" t="s">
        <v>25</v>
      </c>
      <c r="B35" s="20">
        <f>SUM(B36:B42)</f>
        <v>4400000</v>
      </c>
      <c r="C35" s="20">
        <f>+'Plantilla Ejecución '!AH36</f>
        <v>0</v>
      </c>
      <c r="D35" s="19">
        <f>+B35-'Plantilla Ejecución '!AH36</f>
        <v>4400000</v>
      </c>
      <c r="E35" s="85">
        <f t="shared" si="0"/>
        <v>0</v>
      </c>
      <c r="F35" s="87">
        <f t="shared" si="1"/>
        <v>1</v>
      </c>
    </row>
    <row r="36" spans="1:6" x14ac:dyDescent="0.25">
      <c r="A36" s="33" t="s">
        <v>26</v>
      </c>
      <c r="B36" s="21">
        <v>2000000</v>
      </c>
      <c r="C36" s="21">
        <f>+'Plantilla Ejecución '!AH37</f>
        <v>0</v>
      </c>
      <c r="D36" s="21">
        <f>+B36-'Plantilla Ejecución '!AH37</f>
        <v>2000000</v>
      </c>
      <c r="E36" s="83">
        <f>+C36/B36</f>
        <v>0</v>
      </c>
      <c r="F36" s="88">
        <f t="shared" si="1"/>
        <v>1</v>
      </c>
    </row>
    <row r="37" spans="1:6" x14ac:dyDescent="0.25">
      <c r="A37" s="33" t="s">
        <v>43</v>
      </c>
      <c r="B37" s="21">
        <v>0</v>
      </c>
      <c r="C37" s="21">
        <f>+'Plantilla Ejecución '!AH38</f>
        <v>0</v>
      </c>
      <c r="D37" s="21">
        <f>+B37-'Plantilla Ejecución '!AH38</f>
        <v>0</v>
      </c>
      <c r="F37" s="88">
        <v>0</v>
      </c>
    </row>
    <row r="38" spans="1:6" x14ac:dyDescent="0.25">
      <c r="A38" s="33" t="s">
        <v>44</v>
      </c>
      <c r="B38" s="21">
        <v>0</v>
      </c>
      <c r="C38" s="21">
        <f>+'Plantilla Ejecución '!AH39</f>
        <v>0</v>
      </c>
      <c r="D38" s="21">
        <f>+B38-'Plantilla Ejecución '!AH39</f>
        <v>0</v>
      </c>
      <c r="F38" s="88">
        <v>0</v>
      </c>
    </row>
    <row r="39" spans="1:6" x14ac:dyDescent="0.25">
      <c r="A39" s="33" t="s">
        <v>45</v>
      </c>
      <c r="B39" s="21">
        <v>1400000</v>
      </c>
      <c r="C39" s="21">
        <f>+'Plantilla Ejecución '!AH40</f>
        <v>0</v>
      </c>
      <c r="D39" s="21">
        <f>+B39-'Plantilla Ejecución '!AH40</f>
        <v>1400000</v>
      </c>
      <c r="E39" s="83">
        <f>+C39/B39</f>
        <v>0</v>
      </c>
      <c r="F39" s="88">
        <f t="shared" si="1"/>
        <v>1</v>
      </c>
    </row>
    <row r="40" spans="1:6" x14ac:dyDescent="0.25">
      <c r="A40" s="33" t="s">
        <v>46</v>
      </c>
      <c r="B40" s="21">
        <v>0</v>
      </c>
      <c r="C40" s="21">
        <f>+'Plantilla Ejecución '!AH41</f>
        <v>0</v>
      </c>
      <c r="D40" s="21">
        <f>+B40-'Plantilla Ejecución '!AH41</f>
        <v>0</v>
      </c>
      <c r="F40" s="88">
        <v>0</v>
      </c>
    </row>
    <row r="41" spans="1:6" x14ac:dyDescent="0.25">
      <c r="A41" s="33" t="s">
        <v>27</v>
      </c>
      <c r="B41" s="21">
        <v>0</v>
      </c>
      <c r="C41" s="21">
        <f>+'Plantilla Ejecución '!AH42</f>
        <v>0</v>
      </c>
      <c r="D41" s="21">
        <f>+B41-'Plantilla Ejecución '!AH42</f>
        <v>0</v>
      </c>
      <c r="F41" s="88">
        <v>0</v>
      </c>
    </row>
    <row r="42" spans="1:6" x14ac:dyDescent="0.25">
      <c r="A42" s="33" t="s">
        <v>47</v>
      </c>
      <c r="B42" s="21">
        <v>1000000</v>
      </c>
      <c r="C42" s="21">
        <f>+'Plantilla Ejecución '!AH43</f>
        <v>0</v>
      </c>
      <c r="D42" s="21">
        <f>+B42-'Plantilla Ejecución '!AH43</f>
        <v>1000000</v>
      </c>
      <c r="E42" s="86">
        <f>+C42/B42</f>
        <v>0</v>
      </c>
      <c r="F42" s="88">
        <f t="shared" si="1"/>
        <v>1</v>
      </c>
    </row>
    <row r="43" spans="1:6" x14ac:dyDescent="0.25">
      <c r="A43" s="28" t="s">
        <v>48</v>
      </c>
      <c r="B43" s="20">
        <f>+B44</f>
        <v>2000000</v>
      </c>
      <c r="C43" s="20">
        <f>+'Plantilla Ejecución '!AH44</f>
        <v>796653</v>
      </c>
      <c r="D43" s="20">
        <f>+B43-'Plantilla Ejecución '!AH44</f>
        <v>1203347</v>
      </c>
      <c r="E43" s="83">
        <f>+C43/B43</f>
        <v>0.39832650000000003</v>
      </c>
      <c r="F43" s="88">
        <f t="shared" si="1"/>
        <v>0.60167349999999997</v>
      </c>
    </row>
    <row r="44" spans="1:6" x14ac:dyDescent="0.25">
      <c r="A44" s="33" t="s">
        <v>49</v>
      </c>
      <c r="B44" s="21">
        <v>2000000</v>
      </c>
      <c r="C44" s="21">
        <f>+'Plantilla Ejecución '!AH45</f>
        <v>743383</v>
      </c>
      <c r="D44" s="21">
        <f>+B44-'Plantilla Ejecución '!AH45</f>
        <v>1256617</v>
      </c>
      <c r="F44" s="88">
        <f t="shared" si="1"/>
        <v>0.62830850000000005</v>
      </c>
    </row>
    <row r="45" spans="1:6" x14ac:dyDescent="0.25">
      <c r="A45" s="33" t="s">
        <v>50</v>
      </c>
      <c r="B45" s="21">
        <v>0</v>
      </c>
      <c r="C45" s="21">
        <f>+'Plantilla Ejecución '!AH46</f>
        <v>0</v>
      </c>
      <c r="D45" s="21">
        <f>+B45-'Plantilla Ejecución '!AH46</f>
        <v>0</v>
      </c>
      <c r="F45" s="88">
        <v>0</v>
      </c>
    </row>
    <row r="46" spans="1:6" x14ac:dyDescent="0.25">
      <c r="A46" s="33" t="s">
        <v>51</v>
      </c>
      <c r="B46" s="21">
        <v>0</v>
      </c>
      <c r="C46" s="21">
        <f>+'Plantilla Ejecución '!AH47</f>
        <v>0</v>
      </c>
      <c r="D46" s="21">
        <f>+B46-'Plantilla Ejecución '!AH47</f>
        <v>0</v>
      </c>
      <c r="F46" s="88">
        <v>0</v>
      </c>
    </row>
    <row r="47" spans="1:6" x14ac:dyDescent="0.25">
      <c r="A47" s="33" t="s">
        <v>52</v>
      </c>
      <c r="B47" s="21">
        <v>0</v>
      </c>
      <c r="C47" s="21">
        <f>+'Plantilla Ejecución '!AH48</f>
        <v>0</v>
      </c>
      <c r="D47" s="21">
        <f>+B47-'Plantilla Ejecución '!AH48</f>
        <v>0</v>
      </c>
      <c r="F47" s="88">
        <v>0</v>
      </c>
    </row>
    <row r="48" spans="1:6" x14ac:dyDescent="0.25">
      <c r="A48" s="33" t="s">
        <v>53</v>
      </c>
      <c r="B48" s="21">
        <v>0</v>
      </c>
      <c r="C48" s="21">
        <f>+'Plantilla Ejecución '!AH49</f>
        <v>53270</v>
      </c>
      <c r="D48" s="21">
        <f>+B48-'Plantilla Ejecución '!AH49</f>
        <v>-53270</v>
      </c>
      <c r="F48" s="88">
        <v>0</v>
      </c>
    </row>
    <row r="49" spans="1:6" x14ac:dyDescent="0.25">
      <c r="A49" s="33" t="s">
        <v>54</v>
      </c>
      <c r="B49" s="21">
        <v>0</v>
      </c>
      <c r="C49" s="21">
        <f>+'Plantilla Ejecución '!AH50</f>
        <v>0</v>
      </c>
      <c r="D49" s="21">
        <f>+B49-'Plantilla Ejecución '!AH50</f>
        <v>0</v>
      </c>
      <c r="F49" s="88">
        <v>0</v>
      </c>
    </row>
    <row r="50" spans="1:6" x14ac:dyDescent="0.25">
      <c r="A50" s="33" t="s">
        <v>55</v>
      </c>
      <c r="B50" s="20">
        <v>0</v>
      </c>
      <c r="C50" s="21">
        <f>+'Plantilla Ejecución '!AH51</f>
        <v>0</v>
      </c>
      <c r="D50" s="21">
        <f>+B50-'Plantilla Ejecución '!AH51</f>
        <v>0</v>
      </c>
      <c r="F50" s="88">
        <v>0</v>
      </c>
    </row>
    <row r="51" spans="1:6" x14ac:dyDescent="0.25">
      <c r="A51" s="28" t="s">
        <v>28</v>
      </c>
      <c r="B51" s="20">
        <f>SUM(B52:B60)</f>
        <v>114665125</v>
      </c>
      <c r="C51" s="20">
        <f>+'Plantilla Ejecución '!AH52</f>
        <v>2383820</v>
      </c>
      <c r="D51" s="20">
        <f>+B51-'Plantilla Ejecución '!AH52</f>
        <v>112281305</v>
      </c>
      <c r="E51" s="85"/>
      <c r="F51" s="87">
        <f t="shared" si="1"/>
        <v>0.97921059258427534</v>
      </c>
    </row>
    <row r="52" spans="1:6" x14ac:dyDescent="0.25">
      <c r="A52" s="33" t="s">
        <v>29</v>
      </c>
      <c r="B52" s="21">
        <f>2348550+874776+146164+83450+11000</f>
        <v>3463940</v>
      </c>
      <c r="C52" s="21">
        <f>+'Plantilla Ejecución '!AH53</f>
        <v>2098503</v>
      </c>
      <c r="D52" s="21">
        <f>+B52-'Plantilla Ejecución '!AH53</f>
        <v>1365437</v>
      </c>
      <c r="E52" s="83">
        <f>+C52/B52</f>
        <v>0.60581389977886457</v>
      </c>
      <c r="F52" s="88">
        <f t="shared" si="1"/>
        <v>0.39418610022113548</v>
      </c>
    </row>
    <row r="53" spans="1:6" x14ac:dyDescent="0.25">
      <c r="A53" s="33" t="s">
        <v>30</v>
      </c>
      <c r="B53" s="21">
        <v>223000</v>
      </c>
      <c r="C53" s="21">
        <f>+'Plantilla Ejecución '!AH54</f>
        <v>197572</v>
      </c>
      <c r="D53" s="21">
        <f>+B53-'Plantilla Ejecución '!AH54</f>
        <v>25428</v>
      </c>
      <c r="E53" s="83">
        <f>+C53/B53</f>
        <v>0.8859730941704036</v>
      </c>
      <c r="F53" s="88">
        <f t="shared" si="1"/>
        <v>0.11402690582959642</v>
      </c>
    </row>
    <row r="54" spans="1:6" x14ac:dyDescent="0.25">
      <c r="A54" s="33" t="s">
        <v>31</v>
      </c>
      <c r="B54" s="21">
        <v>0</v>
      </c>
      <c r="C54" s="21">
        <f>+'Plantilla Ejecución '!AH55</f>
        <v>0</v>
      </c>
      <c r="D54" s="21">
        <f>+B54-'Plantilla Ejecución '!AH55</f>
        <v>0</v>
      </c>
      <c r="F54" s="88">
        <v>0</v>
      </c>
    </row>
    <row r="55" spans="1:6" x14ac:dyDescent="0.25">
      <c r="A55" s="33" t="s">
        <v>32</v>
      </c>
      <c r="B55" s="21">
        <f>4833000+7654450+2375000</f>
        <v>14862450</v>
      </c>
      <c r="C55" s="21">
        <f>+'Plantilla Ejecución '!AH56</f>
        <v>0</v>
      </c>
      <c r="D55" s="21">
        <f>+B55-'Plantilla Ejecución '!AH56</f>
        <v>14862450</v>
      </c>
      <c r="E55" s="83">
        <f>+C55/B55</f>
        <v>0</v>
      </c>
      <c r="F55" s="88">
        <f t="shared" si="1"/>
        <v>1</v>
      </c>
    </row>
    <row r="56" spans="1:6" x14ac:dyDescent="0.25">
      <c r="A56" s="33" t="s">
        <v>33</v>
      </c>
      <c r="B56" s="21">
        <f>40350+10035627+32001895+4368913+58950</f>
        <v>46505735</v>
      </c>
      <c r="C56" s="21">
        <f>+'Plantilla Ejecución '!AH57</f>
        <v>87745</v>
      </c>
      <c r="D56" s="21">
        <f>+B56-'Plantilla Ejecución '!AH57</f>
        <v>46417990</v>
      </c>
      <c r="E56" s="83">
        <f>+C56/B56</f>
        <v>1.8867565473376564E-3</v>
      </c>
      <c r="F56" s="88">
        <f t="shared" si="1"/>
        <v>0.99811324345266239</v>
      </c>
    </row>
    <row r="57" spans="1:6" x14ac:dyDescent="0.25">
      <c r="A57" s="33" t="s">
        <v>56</v>
      </c>
      <c r="B57" s="21">
        <v>0</v>
      </c>
      <c r="C57" s="21">
        <f>+'Plantilla Ejecución '!AH58</f>
        <v>0</v>
      </c>
      <c r="D57" s="21">
        <f>+B57-'Plantilla Ejecución '!AH58</f>
        <v>0</v>
      </c>
      <c r="F57" s="88">
        <v>0</v>
      </c>
    </row>
    <row r="58" spans="1:6" x14ac:dyDescent="0.25">
      <c r="A58" s="33" t="s">
        <v>57</v>
      </c>
      <c r="B58" s="21">
        <v>160000</v>
      </c>
      <c r="C58" s="21">
        <f>+'Plantilla Ejecución '!AH59</f>
        <v>0</v>
      </c>
      <c r="D58" s="21">
        <f>+B58-'Plantilla Ejecución '!AH59</f>
        <v>160000</v>
      </c>
      <c r="E58" s="83">
        <f>+C58/B58</f>
        <v>0</v>
      </c>
      <c r="F58" s="88">
        <f t="shared" si="1"/>
        <v>1</v>
      </c>
    </row>
    <row r="59" spans="1:6" x14ac:dyDescent="0.25">
      <c r="A59" s="33" t="s">
        <v>34</v>
      </c>
      <c r="B59" s="21">
        <v>49450000</v>
      </c>
      <c r="C59" s="21">
        <f>+'Plantilla Ejecución '!AH60</f>
        <v>0</v>
      </c>
      <c r="D59" s="21">
        <f>+B59-'Plantilla Ejecución '!AH60</f>
        <v>49450000</v>
      </c>
      <c r="E59" s="83">
        <f>+C59/B59</f>
        <v>0</v>
      </c>
      <c r="F59" s="88">
        <f t="shared" si="1"/>
        <v>1</v>
      </c>
    </row>
    <row r="60" spans="1:6" x14ac:dyDescent="0.25">
      <c r="A60" s="33" t="s">
        <v>58</v>
      </c>
      <c r="B60" s="20">
        <v>0</v>
      </c>
      <c r="C60" s="21">
        <f>+'Plantilla Ejecución '!AH61</f>
        <v>0</v>
      </c>
      <c r="D60" s="82">
        <f>+B60-'Plantilla Ejecución '!AH61</f>
        <v>0</v>
      </c>
      <c r="F60" s="88">
        <v>0</v>
      </c>
    </row>
    <row r="61" spans="1:6" x14ac:dyDescent="0.25">
      <c r="A61" s="28" t="s">
        <v>59</v>
      </c>
      <c r="B61" s="20">
        <f>SUM(B62:B65)</f>
        <v>14829000</v>
      </c>
      <c r="C61" s="20">
        <f>+'Plantilla Ejecución '!AH62</f>
        <v>0</v>
      </c>
      <c r="D61" s="20">
        <f>+B61-'Plantilla Ejecución '!AH62</f>
        <v>14829000</v>
      </c>
      <c r="E61" s="85">
        <f>+C61/B61</f>
        <v>0</v>
      </c>
      <c r="F61" s="87">
        <f t="shared" si="1"/>
        <v>1</v>
      </c>
    </row>
    <row r="62" spans="1:6" x14ac:dyDescent="0.25">
      <c r="A62" s="33" t="s">
        <v>60</v>
      </c>
      <c r="B62" s="21">
        <f>8000000+6000000+150000</f>
        <v>14150000</v>
      </c>
      <c r="C62" s="21">
        <f>+'Plantilla Ejecución '!AH63</f>
        <v>0</v>
      </c>
      <c r="D62" s="21">
        <f>+B62-'Plantilla Ejecución '!AH63</f>
        <v>14150000</v>
      </c>
      <c r="E62" s="83">
        <f>+C62/B62</f>
        <v>0</v>
      </c>
      <c r="F62" s="88">
        <f t="shared" si="1"/>
        <v>1</v>
      </c>
    </row>
    <row r="63" spans="1:6" x14ac:dyDescent="0.25">
      <c r="A63" s="33" t="s">
        <v>61</v>
      </c>
      <c r="B63" s="21">
        <v>679000</v>
      </c>
      <c r="C63" s="21">
        <f>+'Plantilla Ejecución '!AH64</f>
        <v>0</v>
      </c>
      <c r="D63" s="21">
        <f>+B63-'Plantilla Ejecución '!AH64</f>
        <v>679000</v>
      </c>
      <c r="E63" s="83">
        <f>+C63/B63</f>
        <v>0</v>
      </c>
      <c r="F63" s="88">
        <f t="shared" si="1"/>
        <v>1</v>
      </c>
    </row>
    <row r="64" spans="1:6" x14ac:dyDescent="0.25">
      <c r="A64" s="33" t="s">
        <v>62</v>
      </c>
      <c r="B64" s="21">
        <v>0</v>
      </c>
      <c r="C64" s="21">
        <f>+'Plantilla Ejecución '!AH65</f>
        <v>0</v>
      </c>
      <c r="D64" s="19">
        <f>+B64-'Plantilla Ejecución '!AH65</f>
        <v>0</v>
      </c>
      <c r="F64" s="88">
        <v>0</v>
      </c>
    </row>
    <row r="65" spans="1:6" ht="30" x14ac:dyDescent="0.25">
      <c r="A65" s="33" t="s">
        <v>63</v>
      </c>
      <c r="B65" s="21">
        <v>0</v>
      </c>
      <c r="C65" s="21">
        <f>+'Plantilla Ejecución '!AH66</f>
        <v>0</v>
      </c>
      <c r="D65" s="19">
        <f>+B65-'Plantilla Ejecución '!AH66</f>
        <v>0</v>
      </c>
      <c r="F65" s="88">
        <v>0</v>
      </c>
    </row>
    <row r="66" spans="1:6" x14ac:dyDescent="0.25">
      <c r="A66" s="28" t="s">
        <v>64</v>
      </c>
      <c r="B66" s="36">
        <f>SUM(B67:B68)</f>
        <v>0</v>
      </c>
      <c r="C66" s="21">
        <f>+'Plantilla Ejecución '!AH67</f>
        <v>0</v>
      </c>
      <c r="D66" s="19">
        <f>+B66-'Plantilla Ejecución '!AH67</f>
        <v>0</v>
      </c>
      <c r="F66" s="88">
        <v>0</v>
      </c>
    </row>
    <row r="67" spans="1:6" x14ac:dyDescent="0.25">
      <c r="A67" s="33" t="s">
        <v>65</v>
      </c>
      <c r="B67" s="21">
        <v>0</v>
      </c>
      <c r="C67" s="21">
        <f>+'Plantilla Ejecución '!AH68</f>
        <v>0</v>
      </c>
      <c r="D67" s="19">
        <f>+B67-'Plantilla Ejecución '!AH68</f>
        <v>0</v>
      </c>
      <c r="F67" s="88">
        <v>0</v>
      </c>
    </row>
    <row r="68" spans="1:6" x14ac:dyDescent="0.25">
      <c r="A68" s="33" t="s">
        <v>66</v>
      </c>
      <c r="B68" s="21">
        <v>0</v>
      </c>
      <c r="C68" s="21">
        <f>+'Plantilla Ejecución '!AH69</f>
        <v>0</v>
      </c>
      <c r="D68" s="19">
        <f>+B68-'Plantilla Ejecución '!AH69</f>
        <v>0</v>
      </c>
      <c r="F68" s="88">
        <v>0</v>
      </c>
    </row>
    <row r="69" spans="1:6" x14ac:dyDescent="0.25">
      <c r="A69" s="28" t="s">
        <v>67</v>
      </c>
      <c r="B69" s="36">
        <f>SUM(B70:B72)</f>
        <v>0</v>
      </c>
      <c r="C69" s="21">
        <f>+'Plantilla Ejecución '!AH70</f>
        <v>0</v>
      </c>
      <c r="D69" s="19">
        <f>+B69-'Plantilla Ejecución '!AH70</f>
        <v>0</v>
      </c>
      <c r="F69" s="88">
        <v>0</v>
      </c>
    </row>
    <row r="70" spans="1:6" x14ac:dyDescent="0.25">
      <c r="A70" s="33" t="s">
        <v>68</v>
      </c>
      <c r="B70" s="21">
        <v>0</v>
      </c>
      <c r="C70" s="21">
        <f>+'Plantilla Ejecución '!AH71</f>
        <v>0</v>
      </c>
      <c r="D70" s="19">
        <f>+B70-'Plantilla Ejecución '!AH71</f>
        <v>0</v>
      </c>
      <c r="F70" s="88">
        <v>0</v>
      </c>
    </row>
    <row r="71" spans="1:6" x14ac:dyDescent="0.25">
      <c r="A71" s="33" t="s">
        <v>69</v>
      </c>
      <c r="B71" s="21">
        <v>0</v>
      </c>
      <c r="C71" s="21">
        <f>+'Plantilla Ejecución '!AH72</f>
        <v>0</v>
      </c>
      <c r="D71" s="19">
        <f>+B71-'Plantilla Ejecución '!AH72</f>
        <v>0</v>
      </c>
      <c r="F71" s="88">
        <v>0</v>
      </c>
    </row>
    <row r="72" spans="1:6" x14ac:dyDescent="0.25">
      <c r="A72" s="33" t="s">
        <v>70</v>
      </c>
      <c r="B72" s="21">
        <v>0</v>
      </c>
      <c r="C72" s="21">
        <f>+'Plantilla Ejecución '!AH73</f>
        <v>0</v>
      </c>
      <c r="D72" s="19">
        <f>+B72-'Plantilla Ejecución '!AH73</f>
        <v>0</v>
      </c>
      <c r="F72" s="88">
        <v>0</v>
      </c>
    </row>
    <row r="73" spans="1:6" x14ac:dyDescent="0.25">
      <c r="A73" s="29" t="s">
        <v>35</v>
      </c>
      <c r="B73" s="23">
        <f>SUM(B9,B15,B25,B35,B43,B51,B61,B66,B69,B69)</f>
        <v>1816138804</v>
      </c>
      <c r="C73" s="23">
        <f>+'Plantilla Ejecución '!AH74</f>
        <v>99538031</v>
      </c>
      <c r="D73" s="23">
        <f>+B73-'Plantilla Ejecución '!AH74</f>
        <v>1716600773</v>
      </c>
      <c r="E73" s="91">
        <f>+C73/B73</f>
        <v>5.4807501927038829E-2</v>
      </c>
      <c r="F73" s="92">
        <f t="shared" si="1"/>
        <v>0.94519249807296113</v>
      </c>
    </row>
    <row r="74" spans="1:6" x14ac:dyDescent="0.25">
      <c r="A74" s="34"/>
      <c r="B74" s="26"/>
      <c r="C74" s="21">
        <f>+'Plantilla Ejecución '!AH75</f>
        <v>0</v>
      </c>
      <c r="D74" s="19">
        <f>+B74-'Plantilla Ejecución '!AH75</f>
        <v>0</v>
      </c>
      <c r="F74" s="88">
        <v>0</v>
      </c>
    </row>
    <row r="75" spans="1:6" x14ac:dyDescent="0.25">
      <c r="A75" s="27" t="s">
        <v>71</v>
      </c>
      <c r="B75" s="20">
        <f>SUM(B76,B79,B82)</f>
        <v>4000000</v>
      </c>
      <c r="C75" s="77">
        <f>+'Plantilla Ejecución '!AH76</f>
        <v>0</v>
      </c>
      <c r="D75" s="20">
        <f>+B75-'Plantilla Ejecución '!AH76</f>
        <v>4000000</v>
      </c>
      <c r="E75" s="85">
        <f>+C75/B75</f>
        <v>0</v>
      </c>
      <c r="F75" s="88">
        <f t="shared" ref="F75:F86" si="2">+D75/B75</f>
        <v>1</v>
      </c>
    </row>
    <row r="76" spans="1:6" x14ac:dyDescent="0.25">
      <c r="A76" s="28" t="s">
        <v>72</v>
      </c>
      <c r="B76" s="78">
        <f>SUM(B78)</f>
        <v>0</v>
      </c>
      <c r="C76" s="21">
        <f>+'Plantilla Ejecución '!AH77</f>
        <v>0</v>
      </c>
      <c r="D76" s="19">
        <f>+B76-'Plantilla Ejecución '!AH77</f>
        <v>0</v>
      </c>
      <c r="F76" s="88">
        <v>0</v>
      </c>
    </row>
    <row r="77" spans="1:6" x14ac:dyDescent="0.25">
      <c r="A77" s="33" t="s">
        <v>73</v>
      </c>
      <c r="B77" s="21">
        <v>0</v>
      </c>
      <c r="C77" s="21">
        <f>+'Plantilla Ejecución '!AH78</f>
        <v>0</v>
      </c>
      <c r="D77" s="19">
        <f>+B77-'Plantilla Ejecución '!AH78</f>
        <v>0</v>
      </c>
      <c r="F77" s="88">
        <v>0</v>
      </c>
    </row>
    <row r="78" spans="1:6" x14ac:dyDescent="0.25">
      <c r="A78" s="33" t="s">
        <v>74</v>
      </c>
      <c r="B78" s="20">
        <v>0</v>
      </c>
      <c r="C78" s="21">
        <f>+'Plantilla Ejecución '!AH79</f>
        <v>0</v>
      </c>
      <c r="D78" s="19">
        <f>+B78-'Plantilla Ejecución '!AH79</f>
        <v>0</v>
      </c>
      <c r="F78" s="88">
        <v>0</v>
      </c>
    </row>
    <row r="79" spans="1:6" x14ac:dyDescent="0.25">
      <c r="A79" s="28" t="s">
        <v>75</v>
      </c>
      <c r="B79" s="20">
        <f>SUM(B80:B81)</f>
        <v>4000000</v>
      </c>
      <c r="C79" s="20">
        <f>+'Plantilla Ejecución '!AH80</f>
        <v>0</v>
      </c>
      <c r="D79" s="20">
        <f>+B79-'Plantilla Ejecución '!AH80</f>
        <v>4000000</v>
      </c>
      <c r="E79" s="85">
        <f>+C79/B79</f>
        <v>0</v>
      </c>
      <c r="F79" s="88">
        <f t="shared" si="2"/>
        <v>1</v>
      </c>
    </row>
    <row r="80" spans="1:6" x14ac:dyDescent="0.25">
      <c r="A80" s="33" t="s">
        <v>76</v>
      </c>
      <c r="B80" s="21">
        <v>4000000</v>
      </c>
      <c r="C80" s="21">
        <f>+'Plantilla Ejecución '!AH81</f>
        <v>0</v>
      </c>
      <c r="D80" s="21">
        <f>+B80-'Plantilla Ejecución '!AH81</f>
        <v>4000000</v>
      </c>
      <c r="E80" s="83">
        <f>+C80/B80</f>
        <v>0</v>
      </c>
      <c r="F80" s="88">
        <f t="shared" si="2"/>
        <v>1</v>
      </c>
    </row>
    <row r="81" spans="1:6" x14ac:dyDescent="0.25">
      <c r="A81" s="33" t="s">
        <v>77</v>
      </c>
      <c r="B81" s="20">
        <v>0</v>
      </c>
      <c r="C81" s="21">
        <f>+'Plantilla Ejecución '!AH82</f>
        <v>0</v>
      </c>
      <c r="D81" s="19">
        <f>+B81-'Plantilla Ejecución '!AH82</f>
        <v>0</v>
      </c>
      <c r="F81" s="88">
        <v>0</v>
      </c>
    </row>
    <row r="82" spans="1:6" x14ac:dyDescent="0.25">
      <c r="A82" s="28" t="s">
        <v>78</v>
      </c>
      <c r="B82" s="36">
        <f>SUM(B83)</f>
        <v>0</v>
      </c>
      <c r="C82" s="21">
        <f>+'Plantilla Ejecución '!AH83</f>
        <v>0</v>
      </c>
      <c r="D82" s="19">
        <f>+B82-'Plantilla Ejecución '!AH83</f>
        <v>0</v>
      </c>
      <c r="F82" s="88">
        <v>0</v>
      </c>
    </row>
    <row r="83" spans="1:6" x14ac:dyDescent="0.25">
      <c r="A83" s="33" t="s">
        <v>79</v>
      </c>
      <c r="B83" s="79">
        <v>0</v>
      </c>
      <c r="C83" s="21">
        <f>+'Plantilla Ejecución '!AH84</f>
        <v>0</v>
      </c>
      <c r="D83" s="19">
        <f>+B83-'Plantilla Ejecución '!AH84</f>
        <v>0</v>
      </c>
      <c r="F83" s="88">
        <v>0</v>
      </c>
    </row>
    <row r="84" spans="1:6" x14ac:dyDescent="0.25">
      <c r="A84" s="29" t="s">
        <v>106</v>
      </c>
      <c r="B84" s="23">
        <f>SUM(G83,B76,B79,B82)</f>
        <v>4000000</v>
      </c>
      <c r="C84" s="23">
        <f>+'Plantilla Ejecución '!AH85</f>
        <v>0</v>
      </c>
      <c r="D84" s="23">
        <f>+B84-'Plantilla Ejecución '!AH85</f>
        <v>4000000</v>
      </c>
      <c r="E84" s="83">
        <f>+C84/B84</f>
        <v>0</v>
      </c>
      <c r="F84" s="87">
        <f t="shared" si="2"/>
        <v>1</v>
      </c>
    </row>
    <row r="85" spans="1:6" x14ac:dyDescent="0.25">
      <c r="A85" s="35"/>
      <c r="B85" s="79"/>
      <c r="C85" s="21">
        <f>+'Plantilla Ejecución '!AH86</f>
        <v>0</v>
      </c>
      <c r="D85" s="19">
        <f>+B85-'Plantilla Ejecución '!AH86</f>
        <v>0</v>
      </c>
      <c r="F85" s="88">
        <v>0</v>
      </c>
    </row>
    <row r="86" spans="1:6" ht="15.75" x14ac:dyDescent="0.25">
      <c r="A86" s="30" t="s">
        <v>81</v>
      </c>
      <c r="B86" s="24">
        <f>+B73+B84</f>
        <v>1820138804</v>
      </c>
      <c r="C86" s="24">
        <f>+'Plantilla Ejecución '!AH87</f>
        <v>99538031</v>
      </c>
      <c r="D86" s="24">
        <f>+B86-'Plantilla Ejecución '!AH87</f>
        <v>1720600773</v>
      </c>
      <c r="E86" s="89">
        <f>+C86/B86</f>
        <v>5.4687055064839986E-2</v>
      </c>
      <c r="F86" s="90">
        <f t="shared" si="2"/>
        <v>0.94531294493516005</v>
      </c>
    </row>
    <row r="87" spans="1:6" x14ac:dyDescent="0.25">
      <c r="A87" s="14" t="s">
        <v>103</v>
      </c>
    </row>
    <row r="88" spans="1:6" x14ac:dyDescent="0.25">
      <c r="C88" s="22">
        <f>+C35+C43</f>
        <v>796653</v>
      </c>
      <c r="F88" s="25"/>
    </row>
    <row r="90" spans="1:6" x14ac:dyDescent="0.25">
      <c r="B90" s="25"/>
      <c r="C90" s="22">
        <f>+C8+C88</f>
        <v>100334684</v>
      </c>
      <c r="D90" s="32"/>
    </row>
    <row r="91" spans="1:6" x14ac:dyDescent="0.25">
      <c r="B91" s="25"/>
      <c r="C91" s="25">
        <f>+C73</f>
        <v>99538031</v>
      </c>
      <c r="D91" s="31"/>
    </row>
    <row r="92" spans="1:6" x14ac:dyDescent="0.25">
      <c r="B92" s="25"/>
      <c r="C92" s="25"/>
    </row>
    <row r="93" spans="1:6" x14ac:dyDescent="0.25">
      <c r="C93" s="22"/>
    </row>
  </sheetData>
  <mergeCells count="5">
    <mergeCell ref="A1:D1"/>
    <mergeCell ref="A2:D2"/>
    <mergeCell ref="A3:D3"/>
    <mergeCell ref="A5:D5"/>
    <mergeCell ref="A4:D4"/>
  </mergeCells>
  <pageMargins left="0.70866141732283472" right="0" top="0.74803149606299213" bottom="0.74803149606299213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N102"/>
  <sheetViews>
    <sheetView showGridLines="0" tabSelected="1" topLeftCell="A46" zoomScale="85" zoomScaleNormal="85" workbookViewId="0">
      <selection activeCell="AM97" sqref="AM97"/>
    </sheetView>
  </sheetViews>
  <sheetFormatPr baseColWidth="10" defaultColWidth="9.140625" defaultRowHeight="15" x14ac:dyDescent="0.25"/>
  <cols>
    <col min="1" max="1" width="80.28515625" customWidth="1"/>
    <col min="2" max="2" width="17.5703125" customWidth="1"/>
    <col min="3" max="3" width="15" customWidth="1"/>
    <col min="4" max="4" width="17.28515625" style="37" customWidth="1"/>
    <col min="5" max="5" width="14" hidden="1" customWidth="1"/>
    <col min="6" max="6" width="13.5703125" style="55" hidden="1" customWidth="1"/>
    <col min="7" max="7" width="15.140625" hidden="1" customWidth="1"/>
    <col min="8" max="8" width="9.5703125" style="37" hidden="1" customWidth="1"/>
    <col min="9" max="9" width="11.140625" hidden="1" customWidth="1"/>
    <col min="10" max="10" width="8.85546875" hidden="1" customWidth="1"/>
    <col min="11" max="11" width="10.42578125" hidden="1" customWidth="1"/>
    <col min="12" max="12" width="9.28515625" hidden="1" customWidth="1"/>
    <col min="13" max="13" width="7.5703125" hidden="1" customWidth="1"/>
    <col min="14" max="14" width="10.140625" hidden="1" customWidth="1"/>
    <col min="15" max="15" width="7.7109375" hidden="1" customWidth="1"/>
    <col min="16" max="16" width="10.7109375" hidden="1" customWidth="1"/>
    <col min="17" max="17" width="8.42578125" hidden="1" customWidth="1"/>
    <col min="18" max="18" width="5.7109375" hidden="1" customWidth="1"/>
    <col min="19" max="19" width="9.85546875" hidden="1" customWidth="1"/>
    <col min="20" max="20" width="10.28515625" hidden="1" customWidth="1"/>
    <col min="21" max="21" width="6.28515625" hidden="1" customWidth="1"/>
    <col min="22" max="22" width="7.5703125" hidden="1" customWidth="1"/>
    <col min="23" max="23" width="4.85546875" hidden="1" customWidth="1"/>
    <col min="24" max="24" width="10.140625" hidden="1" customWidth="1"/>
    <col min="25" max="25" width="8.28515625" hidden="1" customWidth="1"/>
    <col min="26" max="26" width="8.5703125" hidden="1" customWidth="1"/>
    <col min="27" max="27" width="7.7109375" hidden="1" customWidth="1"/>
    <col min="28" max="29" width="4.5703125" hidden="1" customWidth="1"/>
    <col min="30" max="30" width="7.7109375" hidden="1" customWidth="1"/>
    <col min="31" max="31" width="5" hidden="1" customWidth="1"/>
    <col min="32" max="32" width="4" hidden="1" customWidth="1"/>
    <col min="33" max="33" width="15.85546875" hidden="1" customWidth="1"/>
    <col min="34" max="34" width="18.85546875" customWidth="1"/>
    <col min="35" max="35" width="7" customWidth="1"/>
    <col min="40" max="40" width="23.140625" customWidth="1"/>
  </cols>
  <sheetData>
    <row r="1" spans="1:40" ht="66" customHeight="1" x14ac:dyDescent="0.25"/>
    <row r="2" spans="1:40" ht="20.25" customHeight="1" x14ac:dyDescent="0.25">
      <c r="A2" s="106" t="str">
        <f>+'Plantilla Presupuesto'!A2:D2</f>
        <v>CONSEJO ESTATAL DEL AZUCAR (CEA)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Q2" s="10" t="s">
        <v>95</v>
      </c>
    </row>
    <row r="3" spans="1:40" ht="21" x14ac:dyDescent="0.25">
      <c r="A3" s="106" t="s">
        <v>122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Q3" s="10" t="s">
        <v>96</v>
      </c>
    </row>
    <row r="4" spans="1:40" ht="21" customHeight="1" x14ac:dyDescent="0.25">
      <c r="A4" s="106" t="s">
        <v>104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Q4" s="10" t="s">
        <v>94</v>
      </c>
    </row>
    <row r="5" spans="1:40" ht="25.5" customHeight="1" x14ac:dyDescent="0.35">
      <c r="A5" s="107" t="s">
        <v>36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Q5" s="10" t="s">
        <v>97</v>
      </c>
    </row>
    <row r="6" spans="1:40" ht="25.5" customHeight="1" x14ac:dyDescent="0.35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Q6" s="96"/>
    </row>
    <row r="7" spans="1:40" ht="17.25" customHeight="1" x14ac:dyDescent="0.25">
      <c r="A7" s="98"/>
      <c r="B7" s="98"/>
      <c r="C7" s="98"/>
      <c r="D7" s="108" t="s">
        <v>127</v>
      </c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</row>
    <row r="8" spans="1:40" ht="19.5" customHeight="1" x14ac:dyDescent="0.25">
      <c r="A8" s="8" t="s">
        <v>0</v>
      </c>
      <c r="B8" s="8" t="s">
        <v>124</v>
      </c>
      <c r="C8" s="8" t="s">
        <v>125</v>
      </c>
      <c r="D8" s="38" t="s">
        <v>82</v>
      </c>
      <c r="E8" s="38" t="s">
        <v>83</v>
      </c>
      <c r="F8" s="38" t="s">
        <v>118</v>
      </c>
      <c r="G8" s="38" t="s">
        <v>84</v>
      </c>
      <c r="H8" s="62" t="s">
        <v>85</v>
      </c>
      <c r="I8" s="54" t="s">
        <v>86</v>
      </c>
      <c r="J8" s="54" t="s">
        <v>87</v>
      </c>
      <c r="K8" s="54" t="s">
        <v>88</v>
      </c>
      <c r="L8" s="54" t="s">
        <v>89</v>
      </c>
      <c r="M8" s="54" t="s">
        <v>90</v>
      </c>
      <c r="N8" s="54" t="s">
        <v>91</v>
      </c>
      <c r="O8" s="54" t="s">
        <v>92</v>
      </c>
      <c r="AA8" s="13">
        <f>SUM(S9:AA9)</f>
        <v>11.029108875781253</v>
      </c>
      <c r="AB8" s="13">
        <f>+AA8+AB9</f>
        <v>13.989108875781252</v>
      </c>
      <c r="AH8" s="38" t="s">
        <v>126</v>
      </c>
    </row>
    <row r="9" spans="1:40" ht="15.75" x14ac:dyDescent="0.25">
      <c r="A9" s="1" t="s">
        <v>1</v>
      </c>
      <c r="B9" s="99"/>
      <c r="C9" s="99"/>
      <c r="D9" s="71">
        <f>SUM(D10,D16,D26,D36,D44,D52,D62,D67,D70)</f>
        <v>99538031</v>
      </c>
      <c r="E9" s="71">
        <f>SUM(E10,E16,E26,E36,E44,E52,E62,E67,E70)</f>
        <v>0</v>
      </c>
      <c r="F9" s="71">
        <f>SUM(F10,F16,F26,F36,F44,F52,F62,F67,F70)</f>
        <v>0</v>
      </c>
      <c r="G9" s="71">
        <f>SUM(G10,G16,G26,G36,G44,G52,G62,G67,G70)</f>
        <v>0</v>
      </c>
      <c r="H9" s="51">
        <f t="shared" ref="H9:O9" si="0">SUM(H10,H16,H26,H36,H44,H52,H62,H67,H70)</f>
        <v>0</v>
      </c>
      <c r="I9" s="51">
        <f t="shared" si="0"/>
        <v>0</v>
      </c>
      <c r="J9" s="51">
        <f>SUM(J10,J16,J26,J36,J44,J52,J62,J67,J70)</f>
        <v>0</v>
      </c>
      <c r="K9" s="51">
        <f>SUM(K10,K16,K26,K36,K44,K52,K62,K67,K70)</f>
        <v>0</v>
      </c>
      <c r="L9" s="51">
        <f t="shared" si="0"/>
        <v>0</v>
      </c>
      <c r="M9" s="51">
        <f t="shared" si="0"/>
        <v>0</v>
      </c>
      <c r="N9" s="51">
        <f t="shared" si="0"/>
        <v>0</v>
      </c>
      <c r="O9" s="51">
        <f t="shared" si="0"/>
        <v>0</v>
      </c>
      <c r="S9" s="11">
        <v>1</v>
      </c>
      <c r="T9" s="11">
        <v>1.05</v>
      </c>
      <c r="U9" s="11">
        <f>+T9*1.05</f>
        <v>1.1025</v>
      </c>
      <c r="V9" s="11">
        <f t="shared" ref="V9:Z9" si="1">+U9*1.05</f>
        <v>1.1576250000000001</v>
      </c>
      <c r="W9" s="11">
        <f t="shared" si="1"/>
        <v>1.2155062500000002</v>
      </c>
      <c r="X9" s="11">
        <f t="shared" si="1"/>
        <v>1.2762815625000004</v>
      </c>
      <c r="Y9" s="11">
        <f t="shared" si="1"/>
        <v>1.3400956406250004</v>
      </c>
      <c r="Z9" s="11">
        <f t="shared" si="1"/>
        <v>1.4071004226562505</v>
      </c>
      <c r="AA9" s="11">
        <v>1.48</v>
      </c>
      <c r="AB9" s="11">
        <f>+AA9*2</f>
        <v>2.96</v>
      </c>
      <c r="AH9" s="71">
        <f>SUM(AH10,AH16,AH26,AH36,AH44,AH52,AH62)</f>
        <v>99538031</v>
      </c>
    </row>
    <row r="10" spans="1:40" x14ac:dyDescent="0.25">
      <c r="A10" s="3" t="s">
        <v>2</v>
      </c>
      <c r="B10" s="3"/>
      <c r="C10" s="3"/>
      <c r="D10" s="40">
        <f>+D11+D12+D13+D14+D15</f>
        <v>39118747</v>
      </c>
      <c r="E10" s="40">
        <f>+E11+E12+E13+E14+E15</f>
        <v>0</v>
      </c>
      <c r="F10" s="40">
        <f>+F11+F12+F13+F14+F15</f>
        <v>0</v>
      </c>
      <c r="G10" s="40">
        <f>+G11+G12+G13+G14+G15</f>
        <v>0</v>
      </c>
      <c r="H10" s="48">
        <f t="shared" ref="H10:O10" si="2">+H11+H12+H13+H14+H15</f>
        <v>0</v>
      </c>
      <c r="I10" s="40">
        <f>+I11+I12+I13+I14+I15</f>
        <v>0</v>
      </c>
      <c r="J10" s="40">
        <f>+J11+J12+J13+J14+J15</f>
        <v>0</v>
      </c>
      <c r="K10" s="40">
        <f>+K11+K12+K13+K14+K15</f>
        <v>0</v>
      </c>
      <c r="L10" s="40">
        <f t="shared" si="2"/>
        <v>0</v>
      </c>
      <c r="M10" s="40">
        <f t="shared" si="2"/>
        <v>0</v>
      </c>
      <c r="N10" s="40">
        <f t="shared" si="2"/>
        <v>0</v>
      </c>
      <c r="O10" s="40">
        <f t="shared" si="2"/>
        <v>0</v>
      </c>
      <c r="S10" s="12"/>
      <c r="AG10" s="47"/>
      <c r="AH10" s="40">
        <f>+AH11+AH12+AH13+AH14+AH15</f>
        <v>39118747</v>
      </c>
    </row>
    <row r="11" spans="1:40" x14ac:dyDescent="0.25">
      <c r="A11" s="49" t="s">
        <v>3</v>
      </c>
      <c r="B11" s="49"/>
      <c r="C11" s="49"/>
      <c r="D11" s="42">
        <f>10699465+625949+7251319+145006+3018264+5122103+77176+4074036+889919</f>
        <v>31903237</v>
      </c>
      <c r="E11" s="52"/>
      <c r="F11" s="52"/>
      <c r="G11" s="52"/>
      <c r="H11" s="41"/>
      <c r="I11" s="41"/>
      <c r="J11" s="41"/>
      <c r="K11" s="41"/>
      <c r="L11" s="11">
        <v>0</v>
      </c>
      <c r="M11" s="11">
        <v>0</v>
      </c>
      <c r="N11" s="11">
        <v>0</v>
      </c>
      <c r="O11" s="11">
        <v>0</v>
      </c>
      <c r="AG11" s="41"/>
      <c r="AH11" s="42">
        <f>SUM(D11:O11)</f>
        <v>31903237</v>
      </c>
    </row>
    <row r="12" spans="1:40" x14ac:dyDescent="0.25">
      <c r="A12" s="49" t="s">
        <v>4</v>
      </c>
      <c r="B12" s="49"/>
      <c r="C12" s="49"/>
      <c r="D12" s="42">
        <f>37761+67568+4105145+1502957+4029</f>
        <v>5717460</v>
      </c>
      <c r="E12" s="52"/>
      <c r="F12" s="52"/>
      <c r="G12" s="52"/>
      <c r="H12" s="41"/>
      <c r="I12" s="41"/>
      <c r="J12" s="41"/>
      <c r="K12" s="41"/>
      <c r="L12" s="11">
        <v>0</v>
      </c>
      <c r="M12" s="11">
        <v>0</v>
      </c>
      <c r="N12" s="11">
        <v>0</v>
      </c>
      <c r="O12" s="11">
        <v>0</v>
      </c>
      <c r="AG12" s="41"/>
      <c r="AH12" s="42">
        <f>SUM(D12:O12)</f>
        <v>5717460</v>
      </c>
      <c r="AN12" s="11"/>
    </row>
    <row r="13" spans="1:40" x14ac:dyDescent="0.25">
      <c r="A13" s="50" t="s">
        <v>40</v>
      </c>
      <c r="B13" s="50"/>
      <c r="C13" s="50"/>
      <c r="D13" s="42">
        <f>835550+417500+85000+120000+40000</f>
        <v>1498050</v>
      </c>
      <c r="E13" s="52"/>
      <c r="F13" s="52"/>
      <c r="G13" s="52"/>
      <c r="H13" s="41"/>
      <c r="I13" s="41"/>
      <c r="J13" s="41"/>
      <c r="K13" s="41"/>
      <c r="L13" s="11">
        <v>0</v>
      </c>
      <c r="M13" s="11">
        <v>0</v>
      </c>
      <c r="N13" s="11">
        <v>0</v>
      </c>
      <c r="O13" s="11">
        <v>0</v>
      </c>
      <c r="AG13" s="41"/>
      <c r="AH13" s="42">
        <f>SUM(D13:O13)</f>
        <v>1498050</v>
      </c>
    </row>
    <row r="14" spans="1:40" x14ac:dyDescent="0.25">
      <c r="A14" s="49" t="s">
        <v>5</v>
      </c>
      <c r="B14" s="49"/>
      <c r="C14" s="49"/>
      <c r="D14" s="42"/>
      <c r="E14" s="52"/>
      <c r="F14" s="43"/>
      <c r="G14" s="52"/>
      <c r="H14" s="41"/>
      <c r="I14" s="41"/>
      <c r="J14" s="41"/>
      <c r="K14" s="11"/>
      <c r="AH14" s="42">
        <f>SUM(D14:O14)</f>
        <v>0</v>
      </c>
    </row>
    <row r="15" spans="1:40" ht="14.25" customHeight="1" x14ac:dyDescent="0.35">
      <c r="A15" s="49" t="s">
        <v>6</v>
      </c>
      <c r="B15" s="49"/>
      <c r="C15" s="49"/>
      <c r="D15" s="43"/>
      <c r="E15" s="52"/>
      <c r="F15" s="52"/>
      <c r="G15" s="52"/>
      <c r="H15" s="41"/>
      <c r="I15" s="41"/>
      <c r="J15" s="41"/>
      <c r="K15" s="41"/>
      <c r="AG15" s="41"/>
      <c r="AH15" s="43"/>
      <c r="AM15" s="94"/>
      <c r="AN15" s="94"/>
    </row>
    <row r="16" spans="1:40" x14ac:dyDescent="0.25">
      <c r="A16" s="3" t="s">
        <v>7</v>
      </c>
      <c r="B16" s="3"/>
      <c r="C16" s="3"/>
      <c r="D16" s="40">
        <f>+D17+D18+D19+D20+D21+D23+D24+D25+D22</f>
        <v>25553733</v>
      </c>
      <c r="E16" s="40">
        <f>SUM(E17:E25)</f>
        <v>0</v>
      </c>
      <c r="F16" s="40">
        <f t="shared" ref="F16:O16" si="3">SUM(F17:F25)</f>
        <v>0</v>
      </c>
      <c r="G16" s="40">
        <f>+G17+G18+G19+G20+G21+G22+G23+G24+G25</f>
        <v>0</v>
      </c>
      <c r="H16" s="48">
        <f t="shared" si="3"/>
        <v>0</v>
      </c>
      <c r="I16" s="48">
        <f>SUM(I17:I25)</f>
        <v>0</v>
      </c>
      <c r="J16" s="48">
        <f t="shared" si="3"/>
        <v>0</v>
      </c>
      <c r="K16" s="40">
        <f>SUM(K17:K25)</f>
        <v>0</v>
      </c>
      <c r="L16" s="40">
        <f t="shared" si="3"/>
        <v>0</v>
      </c>
      <c r="M16" s="40">
        <f t="shared" si="3"/>
        <v>0</v>
      </c>
      <c r="N16" s="40">
        <f t="shared" si="3"/>
        <v>0</v>
      </c>
      <c r="O16" s="40">
        <f t="shared" si="3"/>
        <v>0</v>
      </c>
      <c r="AH16" s="40">
        <f>SUM(AH17+AH18+AH19+AH21+AH22+AH23+AH24+AH25)+AH20</f>
        <v>25553733</v>
      </c>
    </row>
    <row r="17" spans="1:34" ht="15" customHeight="1" x14ac:dyDescent="0.25">
      <c r="A17" s="49" t="s">
        <v>8</v>
      </c>
      <c r="B17" s="49"/>
      <c r="C17" s="49"/>
      <c r="D17" s="43">
        <f>9177+1791425+42839+37610+31204+58870</f>
        <v>1971125</v>
      </c>
      <c r="E17" s="52"/>
      <c r="F17" s="52"/>
      <c r="G17" s="52"/>
      <c r="H17" s="41"/>
      <c r="I17" s="41"/>
      <c r="J17" s="41"/>
      <c r="K17" s="41"/>
      <c r="AH17" s="43">
        <f t="shared" ref="AH17:AH24" si="4">+D17</f>
        <v>1971125</v>
      </c>
    </row>
    <row r="18" spans="1:34" ht="15" customHeight="1" x14ac:dyDescent="0.25">
      <c r="A18" s="50" t="s">
        <v>9</v>
      </c>
      <c r="B18" s="50"/>
      <c r="C18" s="50"/>
      <c r="D18" s="43">
        <f>249000+90809+315</f>
        <v>340124</v>
      </c>
      <c r="E18" s="52"/>
      <c r="F18" s="52"/>
      <c r="G18" s="52"/>
      <c r="H18" s="41"/>
      <c r="I18" s="41"/>
      <c r="J18" s="41"/>
      <c r="K18" s="41"/>
      <c r="AH18" s="43">
        <f t="shared" si="4"/>
        <v>340124</v>
      </c>
    </row>
    <row r="19" spans="1:34" ht="15" customHeight="1" x14ac:dyDescent="0.25">
      <c r="A19" s="49" t="s">
        <v>10</v>
      </c>
      <c r="B19" s="49"/>
      <c r="C19" s="49"/>
      <c r="D19" s="43">
        <f>32500+28000+54940</f>
        <v>115440</v>
      </c>
      <c r="E19" s="52"/>
      <c r="F19" s="52"/>
      <c r="G19" s="52"/>
      <c r="H19" s="41"/>
      <c r="I19" s="41"/>
      <c r="J19" s="41"/>
      <c r="K19" s="41"/>
      <c r="AH19" s="43">
        <f t="shared" si="4"/>
        <v>115440</v>
      </c>
    </row>
    <row r="20" spans="1:34" ht="15" customHeight="1" x14ac:dyDescent="0.25">
      <c r="A20" s="49" t="s">
        <v>11</v>
      </c>
      <c r="B20" s="49"/>
      <c r="C20" s="49"/>
      <c r="D20" s="43">
        <v>1856800</v>
      </c>
      <c r="E20" s="52"/>
      <c r="F20" s="52"/>
      <c r="G20" s="52"/>
      <c r="H20" s="41"/>
      <c r="I20" s="41"/>
      <c r="J20" s="41"/>
      <c r="K20" s="41"/>
      <c r="AH20" s="43">
        <f t="shared" si="4"/>
        <v>1856800</v>
      </c>
    </row>
    <row r="21" spans="1:34" ht="15" customHeight="1" x14ac:dyDescent="0.25">
      <c r="A21" s="49" t="s">
        <v>12</v>
      </c>
      <c r="B21" s="49"/>
      <c r="C21" s="49"/>
      <c r="D21" s="43">
        <v>67509</v>
      </c>
      <c r="E21" s="52"/>
      <c r="F21" s="52"/>
      <c r="G21" s="52"/>
      <c r="H21" s="41"/>
      <c r="I21" s="41"/>
      <c r="J21" s="41"/>
      <c r="K21" s="41"/>
      <c r="AH21" s="43">
        <f t="shared" si="4"/>
        <v>67509</v>
      </c>
    </row>
    <row r="22" spans="1:34" ht="15" customHeight="1" x14ac:dyDescent="0.25">
      <c r="A22" s="49" t="s">
        <v>13</v>
      </c>
      <c r="B22" s="49"/>
      <c r="C22" s="49"/>
      <c r="D22" s="43">
        <v>116776</v>
      </c>
      <c r="E22" s="52"/>
      <c r="F22" s="52"/>
      <c r="G22" s="52"/>
      <c r="H22" s="41"/>
      <c r="I22" s="41"/>
      <c r="J22" s="41"/>
      <c r="K22" s="41"/>
      <c r="AH22" s="43">
        <f t="shared" si="4"/>
        <v>116776</v>
      </c>
    </row>
    <row r="23" spans="1:34" ht="15" customHeight="1" x14ac:dyDescent="0.25">
      <c r="A23" s="49" t="s">
        <v>14</v>
      </c>
      <c r="B23" s="49"/>
      <c r="C23" s="49"/>
      <c r="D23" s="43">
        <f>43184+828833+7342146</f>
        <v>8214163</v>
      </c>
      <c r="E23" s="52"/>
      <c r="F23" s="52"/>
      <c r="G23" s="52"/>
      <c r="H23" s="41"/>
      <c r="I23" s="41"/>
      <c r="J23" s="41"/>
      <c r="K23" s="41"/>
      <c r="AH23" s="43">
        <f t="shared" si="4"/>
        <v>8214163</v>
      </c>
    </row>
    <row r="24" spans="1:34" ht="15" customHeight="1" x14ac:dyDescent="0.25">
      <c r="A24" s="49" t="s">
        <v>15</v>
      </c>
      <c r="B24" s="49"/>
      <c r="C24" s="49"/>
      <c r="D24" s="43">
        <f>976120+54143+11841534-1</f>
        <v>12871796</v>
      </c>
      <c r="E24" s="52"/>
      <c r="F24" s="52"/>
      <c r="G24" s="52"/>
      <c r="H24" s="41"/>
      <c r="I24" s="41"/>
      <c r="J24" s="41"/>
      <c r="K24" s="41"/>
      <c r="AH24" s="43">
        <f t="shared" si="4"/>
        <v>12871796</v>
      </c>
    </row>
    <row r="25" spans="1:34" ht="15" customHeight="1" x14ac:dyDescent="0.25">
      <c r="A25" s="49" t="s">
        <v>41</v>
      </c>
      <c r="B25" s="49"/>
      <c r="C25" s="49"/>
      <c r="D25" s="43"/>
      <c r="E25" s="52"/>
      <c r="F25" s="52"/>
      <c r="G25" s="52"/>
      <c r="H25" s="41"/>
      <c r="I25" s="41"/>
      <c r="J25" s="41"/>
      <c r="K25" s="41"/>
      <c r="AH25" s="43"/>
    </row>
    <row r="26" spans="1:34" s="53" customFormat="1" x14ac:dyDescent="0.25">
      <c r="A26" s="3" t="s">
        <v>16</v>
      </c>
      <c r="B26" s="3"/>
      <c r="C26" s="3"/>
      <c r="D26" s="40">
        <f>SUM(D27:D35)</f>
        <v>31685078</v>
      </c>
      <c r="E26" s="40">
        <f>SUM(E27:E35)</f>
        <v>0</v>
      </c>
      <c r="F26" s="40">
        <f t="shared" ref="F26:O26" si="5">SUM(F27:F35)</f>
        <v>0</v>
      </c>
      <c r="G26" s="40">
        <f>+G27+G28+G29+G30+G31+G32+G33+G35</f>
        <v>0</v>
      </c>
      <c r="H26" s="48">
        <f t="shared" si="5"/>
        <v>0</v>
      </c>
      <c r="I26" s="47">
        <f t="shared" si="5"/>
        <v>0</v>
      </c>
      <c r="J26" s="47">
        <f t="shared" si="5"/>
        <v>0</v>
      </c>
      <c r="K26" s="47">
        <f>SUM(K27:K35)</f>
        <v>0</v>
      </c>
      <c r="L26" s="47">
        <f t="shared" si="5"/>
        <v>0</v>
      </c>
      <c r="M26" s="47">
        <f t="shared" si="5"/>
        <v>0</v>
      </c>
      <c r="N26" s="47">
        <f t="shared" si="5"/>
        <v>0</v>
      </c>
      <c r="O26" s="47">
        <f t="shared" si="5"/>
        <v>0</v>
      </c>
      <c r="AH26" s="40">
        <f>+AH27+AH28+AH31+AH33+AH34+AH30+AH29+AH32+AH35</f>
        <v>31685078</v>
      </c>
    </row>
    <row r="27" spans="1:34" ht="15" customHeight="1" x14ac:dyDescent="0.25">
      <c r="A27" s="49" t="s">
        <v>17</v>
      </c>
      <c r="B27" s="49"/>
      <c r="C27" s="49"/>
      <c r="D27" s="43">
        <v>19335</v>
      </c>
      <c r="E27" s="52"/>
      <c r="F27" s="52"/>
      <c r="G27" s="52"/>
      <c r="H27" s="41"/>
      <c r="I27" s="41"/>
      <c r="J27" s="41"/>
      <c r="K27" s="41"/>
      <c r="AH27" s="43">
        <f t="shared" ref="AH27:AH43" si="6">+D27</f>
        <v>19335</v>
      </c>
    </row>
    <row r="28" spans="1:34" ht="15" customHeight="1" x14ac:dyDescent="0.25">
      <c r="A28" s="49" t="s">
        <v>18</v>
      </c>
      <c r="B28" s="49"/>
      <c r="C28" s="49"/>
      <c r="D28" s="43"/>
      <c r="E28" s="52"/>
      <c r="F28" s="52"/>
      <c r="G28" s="52"/>
      <c r="H28" s="41"/>
      <c r="I28" s="41"/>
      <c r="J28" s="41"/>
      <c r="K28" s="41"/>
      <c r="AH28" s="43">
        <f t="shared" si="6"/>
        <v>0</v>
      </c>
    </row>
    <row r="29" spans="1:34" ht="15" customHeight="1" x14ac:dyDescent="0.25">
      <c r="A29" s="49" t="s">
        <v>19</v>
      </c>
      <c r="B29" s="49"/>
      <c r="C29" s="49"/>
      <c r="D29" s="43">
        <f>132750+356541</f>
        <v>489291</v>
      </c>
      <c r="E29" s="52"/>
      <c r="F29" s="43"/>
      <c r="G29" s="52"/>
      <c r="H29" s="41"/>
      <c r="I29" s="41"/>
      <c r="J29" s="41"/>
      <c r="K29" s="41"/>
      <c r="AH29" s="43">
        <f t="shared" si="6"/>
        <v>489291</v>
      </c>
    </row>
    <row r="30" spans="1:34" ht="15" customHeight="1" x14ac:dyDescent="0.25">
      <c r="A30" s="49" t="s">
        <v>20</v>
      </c>
      <c r="B30" s="49"/>
      <c r="C30" s="49"/>
      <c r="D30" s="43"/>
      <c r="E30" s="52"/>
      <c r="F30" s="43"/>
      <c r="G30" s="52"/>
      <c r="H30" s="41"/>
      <c r="I30" s="41"/>
      <c r="J30" s="41"/>
      <c r="K30" s="41"/>
      <c r="AH30" s="43">
        <f t="shared" si="6"/>
        <v>0</v>
      </c>
    </row>
    <row r="31" spans="1:34" ht="15" customHeight="1" x14ac:dyDescent="0.25">
      <c r="A31" s="49" t="s">
        <v>21</v>
      </c>
      <c r="B31" s="49"/>
      <c r="C31" s="49"/>
      <c r="D31" s="43">
        <f>1144140+1758565</f>
        <v>2902705</v>
      </c>
      <c r="E31" s="52"/>
      <c r="F31" s="52"/>
      <c r="G31" s="52"/>
      <c r="H31" s="41"/>
      <c r="I31" s="41"/>
      <c r="J31" s="41"/>
      <c r="K31" s="41"/>
      <c r="AH31" s="43">
        <f t="shared" si="6"/>
        <v>2902705</v>
      </c>
    </row>
    <row r="32" spans="1:34" ht="15" customHeight="1" x14ac:dyDescent="0.25">
      <c r="A32" s="49" t="s">
        <v>22</v>
      </c>
      <c r="B32" s="49"/>
      <c r="C32" s="49"/>
      <c r="D32" s="43">
        <v>8935220</v>
      </c>
      <c r="E32" s="52"/>
      <c r="F32" s="52"/>
      <c r="G32" s="52"/>
      <c r="H32" s="41"/>
      <c r="I32" s="41"/>
      <c r="J32" s="41"/>
      <c r="K32" s="41"/>
      <c r="AH32" s="43">
        <f t="shared" si="6"/>
        <v>8935220</v>
      </c>
    </row>
    <row r="33" spans="1:34" ht="15" customHeight="1" x14ac:dyDescent="0.25">
      <c r="A33" s="49" t="s">
        <v>23</v>
      </c>
      <c r="B33" s="49"/>
      <c r="C33" s="49"/>
      <c r="D33" s="43">
        <f>103933+561220+11356680</f>
        <v>12021833</v>
      </c>
      <c r="E33" s="52"/>
      <c r="F33" s="52"/>
      <c r="G33" s="52"/>
      <c r="H33" s="41"/>
      <c r="I33" s="41"/>
      <c r="J33" s="41"/>
      <c r="K33" s="41"/>
      <c r="AH33" s="43">
        <f t="shared" si="6"/>
        <v>12021833</v>
      </c>
    </row>
    <row r="34" spans="1:34" ht="15" customHeight="1" x14ac:dyDescent="0.25">
      <c r="A34" s="50" t="s">
        <v>42</v>
      </c>
      <c r="B34" s="50"/>
      <c r="C34" s="50"/>
      <c r="D34" s="43"/>
      <c r="E34" s="41"/>
      <c r="F34" s="43"/>
      <c r="G34" s="52"/>
      <c r="H34" s="41"/>
      <c r="I34" s="41"/>
      <c r="J34" s="41"/>
      <c r="K34" s="41"/>
      <c r="AH34" s="43">
        <f t="shared" si="6"/>
        <v>0</v>
      </c>
    </row>
    <row r="35" spans="1:34" ht="15" customHeight="1" x14ac:dyDescent="0.25">
      <c r="A35" s="49" t="s">
        <v>24</v>
      </c>
      <c r="B35" s="49"/>
      <c r="C35" s="49"/>
      <c r="D35" s="43">
        <f>213897+670483+6432314</f>
        <v>7316694</v>
      </c>
      <c r="E35" s="52"/>
      <c r="F35" s="52"/>
      <c r="G35" s="52"/>
      <c r="H35" s="41"/>
      <c r="I35" s="41"/>
      <c r="J35" s="41"/>
      <c r="K35" s="41"/>
      <c r="AH35" s="43">
        <f t="shared" si="6"/>
        <v>7316694</v>
      </c>
    </row>
    <row r="36" spans="1:34" s="53" customFormat="1" x14ac:dyDescent="0.25">
      <c r="A36" s="3" t="s">
        <v>25</v>
      </c>
      <c r="B36" s="3"/>
      <c r="C36" s="3"/>
      <c r="D36" s="43">
        <f>SUM(D37:D43)</f>
        <v>0</v>
      </c>
      <c r="E36" s="40">
        <f>SUM(E37:E43)</f>
        <v>0</v>
      </c>
      <c r="F36" s="58">
        <f t="shared" ref="F36:O36" si="7">SUM(F37:F43)</f>
        <v>0</v>
      </c>
      <c r="G36" s="40">
        <f>SUM(G37:G43)</f>
        <v>0</v>
      </c>
      <c r="H36" s="41">
        <f>SUM(H37:H43)</f>
        <v>0</v>
      </c>
      <c r="I36" s="40">
        <f t="shared" si="7"/>
        <v>0</v>
      </c>
      <c r="J36" s="40">
        <f t="shared" si="7"/>
        <v>0</v>
      </c>
      <c r="K36" s="40">
        <f>SUM(K37:K43)</f>
        <v>0</v>
      </c>
      <c r="L36" s="40">
        <f t="shared" si="7"/>
        <v>0</v>
      </c>
      <c r="M36" s="40">
        <f t="shared" si="7"/>
        <v>0</v>
      </c>
      <c r="N36" s="40">
        <f t="shared" si="7"/>
        <v>0</v>
      </c>
      <c r="O36" s="40">
        <f t="shared" si="7"/>
        <v>0</v>
      </c>
      <c r="AH36" s="43">
        <f t="shared" si="6"/>
        <v>0</v>
      </c>
    </row>
    <row r="37" spans="1:34" ht="15" customHeight="1" x14ac:dyDescent="0.25">
      <c r="A37" s="49" t="s">
        <v>26</v>
      </c>
      <c r="B37" s="49"/>
      <c r="C37" s="49"/>
      <c r="D37" s="43"/>
      <c r="E37" s="52"/>
      <c r="F37" s="43">
        <v>0</v>
      </c>
      <c r="G37" s="52"/>
      <c r="H37" s="41"/>
      <c r="I37" s="52"/>
      <c r="J37" s="52"/>
      <c r="K37" s="41"/>
      <c r="AH37" s="43">
        <f t="shared" si="6"/>
        <v>0</v>
      </c>
    </row>
    <row r="38" spans="1:34" ht="15" customHeight="1" x14ac:dyDescent="0.25">
      <c r="A38" s="49" t="s">
        <v>43</v>
      </c>
      <c r="B38" s="49"/>
      <c r="C38" s="49"/>
      <c r="D38" s="43"/>
      <c r="E38" s="52"/>
      <c r="F38" s="43">
        <v>0</v>
      </c>
      <c r="H38" s="41"/>
      <c r="K38" s="41"/>
      <c r="AH38" s="43">
        <f t="shared" si="6"/>
        <v>0</v>
      </c>
    </row>
    <row r="39" spans="1:34" ht="15" customHeight="1" x14ac:dyDescent="0.25">
      <c r="A39" s="49" t="s">
        <v>44</v>
      </c>
      <c r="B39" s="49"/>
      <c r="C39" s="49"/>
      <c r="D39" s="43">
        <v>0</v>
      </c>
      <c r="E39" s="52"/>
      <c r="F39" s="43">
        <v>0</v>
      </c>
      <c r="H39" s="41"/>
      <c r="K39" s="41"/>
      <c r="AH39" s="43">
        <f t="shared" si="6"/>
        <v>0</v>
      </c>
    </row>
    <row r="40" spans="1:34" ht="15" customHeight="1" x14ac:dyDescent="0.25">
      <c r="A40" s="49" t="s">
        <v>45</v>
      </c>
      <c r="B40" s="49"/>
      <c r="C40" s="49"/>
      <c r="D40" s="43">
        <v>0</v>
      </c>
      <c r="E40" s="52"/>
      <c r="F40" s="43">
        <v>0</v>
      </c>
      <c r="H40" s="41"/>
      <c r="K40" s="41"/>
      <c r="AH40" s="43">
        <f t="shared" si="6"/>
        <v>0</v>
      </c>
    </row>
    <row r="41" spans="1:34" ht="15" customHeight="1" x14ac:dyDescent="0.25">
      <c r="A41" s="49" t="s">
        <v>46</v>
      </c>
      <c r="B41" s="49"/>
      <c r="C41" s="49"/>
      <c r="D41" s="43">
        <v>0</v>
      </c>
      <c r="E41" s="52"/>
      <c r="F41" s="43">
        <v>0</v>
      </c>
      <c r="H41" s="41"/>
      <c r="K41" s="41"/>
      <c r="AH41" s="43">
        <f t="shared" si="6"/>
        <v>0</v>
      </c>
    </row>
    <row r="42" spans="1:34" ht="15" customHeight="1" x14ac:dyDescent="0.25">
      <c r="A42" s="49" t="s">
        <v>27</v>
      </c>
      <c r="B42" s="49"/>
      <c r="C42" s="49"/>
      <c r="D42" s="43">
        <v>0</v>
      </c>
      <c r="E42" s="52"/>
      <c r="F42" s="43">
        <v>0</v>
      </c>
      <c r="H42" s="41"/>
      <c r="K42" s="41"/>
      <c r="AH42" s="43">
        <f t="shared" si="6"/>
        <v>0</v>
      </c>
    </row>
    <row r="43" spans="1:34" ht="15" customHeight="1" x14ac:dyDescent="0.25">
      <c r="A43" s="49" t="s">
        <v>47</v>
      </c>
      <c r="B43" s="49"/>
      <c r="C43" s="49"/>
      <c r="D43" s="43">
        <v>0</v>
      </c>
      <c r="E43" s="52"/>
      <c r="F43" s="43">
        <v>0</v>
      </c>
      <c r="G43" s="52"/>
      <c r="H43" s="41"/>
      <c r="K43" s="41"/>
      <c r="AH43" s="43">
        <f t="shared" si="6"/>
        <v>0</v>
      </c>
    </row>
    <row r="44" spans="1:34" s="53" customFormat="1" x14ac:dyDescent="0.25">
      <c r="A44" s="3" t="s">
        <v>48</v>
      </c>
      <c r="B44" s="3"/>
      <c r="C44" s="3"/>
      <c r="D44" s="40">
        <f>SUM(D45:D51)</f>
        <v>796653</v>
      </c>
      <c r="E44" s="40">
        <f>SUM(E45:E51)</f>
        <v>0</v>
      </c>
      <c r="F44" s="40">
        <f t="shared" ref="F44:O44" si="8">SUM(F45:F51)</f>
        <v>0</v>
      </c>
      <c r="G44" s="40">
        <f>+G45+G46+G47+G48+G49+G50+G51</f>
        <v>0</v>
      </c>
      <c r="H44" s="48">
        <f>SUM(H45:H51)</f>
        <v>0</v>
      </c>
      <c r="I44" s="40">
        <f t="shared" si="8"/>
        <v>0</v>
      </c>
      <c r="J44" s="40">
        <f t="shared" si="8"/>
        <v>0</v>
      </c>
      <c r="K44" s="40">
        <f t="shared" si="8"/>
        <v>0</v>
      </c>
      <c r="L44" s="40">
        <f t="shared" si="8"/>
        <v>0</v>
      </c>
      <c r="M44" s="40">
        <f t="shared" si="8"/>
        <v>0</v>
      </c>
      <c r="N44" s="40">
        <f t="shared" si="8"/>
        <v>0</v>
      </c>
      <c r="O44" s="40">
        <f t="shared" si="8"/>
        <v>0</v>
      </c>
      <c r="AH44" s="40">
        <f>SUM(AH45+AH46+AH47+AH48+AH49+AH50+AH51)</f>
        <v>796653</v>
      </c>
    </row>
    <row r="45" spans="1:34" x14ac:dyDescent="0.25">
      <c r="A45" s="49" t="s">
        <v>49</v>
      </c>
      <c r="B45" s="49"/>
      <c r="C45" s="49"/>
      <c r="D45" s="43">
        <v>743383</v>
      </c>
      <c r="E45" s="52"/>
      <c r="F45" s="52"/>
      <c r="G45" s="52"/>
      <c r="H45" s="41"/>
      <c r="I45" s="52"/>
      <c r="J45" s="52"/>
      <c r="K45" s="41"/>
      <c r="AH45" s="43">
        <f>+D45</f>
        <v>743383</v>
      </c>
    </row>
    <row r="46" spans="1:34" x14ac:dyDescent="0.25">
      <c r="A46" s="49" t="s">
        <v>50</v>
      </c>
      <c r="B46" s="49"/>
      <c r="C46" s="49"/>
      <c r="D46" s="43"/>
      <c r="E46" s="52"/>
      <c r="F46" s="43"/>
      <c r="H46" s="41"/>
      <c r="K46" s="41"/>
      <c r="AH46" s="43"/>
    </row>
    <row r="47" spans="1:34" x14ac:dyDescent="0.25">
      <c r="A47" s="49" t="s">
        <v>51</v>
      </c>
      <c r="B47" s="49"/>
      <c r="C47" s="49"/>
      <c r="D47" s="43"/>
      <c r="E47" s="52"/>
      <c r="F47" s="43"/>
      <c r="H47" s="41"/>
      <c r="K47" s="41"/>
      <c r="AH47" s="43"/>
    </row>
    <row r="48" spans="1:34" x14ac:dyDescent="0.25">
      <c r="A48" s="49" t="s">
        <v>52</v>
      </c>
      <c r="B48" s="49"/>
      <c r="C48" s="49"/>
      <c r="D48" s="43">
        <v>0</v>
      </c>
      <c r="E48" s="52"/>
      <c r="F48" s="43">
        <v>0</v>
      </c>
      <c r="H48" s="41"/>
      <c r="K48" s="41"/>
      <c r="AH48" s="43">
        <f>SUM(D48:O48)</f>
        <v>0</v>
      </c>
    </row>
    <row r="49" spans="1:34" x14ac:dyDescent="0.25">
      <c r="A49" s="49" t="s">
        <v>53</v>
      </c>
      <c r="B49" s="49"/>
      <c r="C49" s="49"/>
      <c r="D49" s="43">
        <v>53270</v>
      </c>
      <c r="E49" s="52"/>
      <c r="F49" s="52"/>
      <c r="G49" s="52"/>
      <c r="H49" s="41"/>
      <c r="I49" s="52"/>
      <c r="J49" s="52"/>
      <c r="K49" s="41"/>
      <c r="AH49" s="43">
        <f>+D49</f>
        <v>53270</v>
      </c>
    </row>
    <row r="50" spans="1:34" x14ac:dyDescent="0.25">
      <c r="A50" s="49" t="s">
        <v>54</v>
      </c>
      <c r="B50" s="49"/>
      <c r="C50" s="49"/>
      <c r="D50" s="43">
        <v>0</v>
      </c>
      <c r="E50" s="52"/>
      <c r="F50" s="43">
        <v>0</v>
      </c>
      <c r="H50" s="41"/>
      <c r="K50" s="41"/>
      <c r="AH50" s="43">
        <f>SUM(D50:O50)</f>
        <v>0</v>
      </c>
    </row>
    <row r="51" spans="1:34" x14ac:dyDescent="0.25">
      <c r="A51" s="49" t="s">
        <v>55</v>
      </c>
      <c r="B51" s="49"/>
      <c r="C51" s="49"/>
      <c r="D51" s="43">
        <v>0</v>
      </c>
      <c r="E51" s="52"/>
      <c r="F51" s="43">
        <v>0</v>
      </c>
      <c r="H51" s="41"/>
      <c r="I51" s="52"/>
      <c r="K51" s="41"/>
      <c r="AH51" s="43">
        <f>SUM(D51:O51)</f>
        <v>0</v>
      </c>
    </row>
    <row r="52" spans="1:34" s="53" customFormat="1" x14ac:dyDescent="0.25">
      <c r="A52" s="3" t="s">
        <v>28</v>
      </c>
      <c r="B52" s="3"/>
      <c r="C52" s="3"/>
      <c r="D52" s="40">
        <f>SUM(D53:D61)</f>
        <v>2383820</v>
      </c>
      <c r="E52" s="40">
        <f>SUM(E53:E61)</f>
        <v>0</v>
      </c>
      <c r="F52" s="40">
        <f>SUM(F53:F61)</f>
        <v>0</v>
      </c>
      <c r="G52" s="40">
        <f>SUM(G53:G61)</f>
        <v>0</v>
      </c>
      <c r="H52" s="48">
        <f>SUM(H53:H61)</f>
        <v>0</v>
      </c>
      <c r="I52" s="48">
        <f t="shared" ref="I52:J52" si="9">SUM(I53:I61)</f>
        <v>0</v>
      </c>
      <c r="J52" s="44">
        <f t="shared" si="9"/>
        <v>0</v>
      </c>
      <c r="K52" s="44">
        <f>SUM(K53:K61)</f>
        <v>0</v>
      </c>
      <c r="L52" s="43">
        <f t="shared" ref="L52" si="10">SUM(L53:L61)</f>
        <v>0</v>
      </c>
      <c r="M52" s="43">
        <f t="shared" ref="M52" si="11">SUM(M53:M61)</f>
        <v>0</v>
      </c>
      <c r="N52" s="43">
        <f t="shared" ref="N52" si="12">SUM(N53:N61)</f>
        <v>0</v>
      </c>
      <c r="O52" s="43">
        <f t="shared" ref="O52" si="13">SUM(O53:O61)</f>
        <v>0</v>
      </c>
      <c r="AH52" s="40">
        <f>+AH53+AH54+AH55+AH56+AH57+AH58++AH59+AH60+AH61</f>
        <v>2383820</v>
      </c>
    </row>
    <row r="53" spans="1:34" x14ac:dyDescent="0.25">
      <c r="A53" s="49" t="s">
        <v>29</v>
      </c>
      <c r="B53" s="49"/>
      <c r="C53" s="49"/>
      <c r="D53" s="43">
        <f>1563739+155441+379323</f>
        <v>2098503</v>
      </c>
      <c r="E53" s="52"/>
      <c r="F53" s="52"/>
      <c r="G53" s="52"/>
      <c r="H53" s="41"/>
      <c r="I53" s="43"/>
      <c r="J53" s="43"/>
      <c r="K53" s="43"/>
      <c r="L53" s="43"/>
      <c r="M53" s="43"/>
      <c r="N53" s="43"/>
      <c r="O53" s="43"/>
      <c r="AH53" s="43">
        <f t="shared" ref="AH53:AH60" si="14">+D53</f>
        <v>2098503</v>
      </c>
    </row>
    <row r="54" spans="1:34" x14ac:dyDescent="0.25">
      <c r="A54" s="49" t="s">
        <v>30</v>
      </c>
      <c r="B54" s="49"/>
      <c r="C54" s="49"/>
      <c r="D54" s="43">
        <f>114382+83190</f>
        <v>197572</v>
      </c>
      <c r="E54" s="43"/>
      <c r="F54" s="43"/>
      <c r="G54" s="43"/>
      <c r="H54" s="41"/>
      <c r="I54" s="43"/>
      <c r="J54" s="43"/>
      <c r="K54" s="43"/>
      <c r="L54" s="43"/>
      <c r="M54" s="43"/>
      <c r="N54" s="43"/>
      <c r="O54" s="43"/>
      <c r="P54" s="43"/>
      <c r="AH54" s="43">
        <f t="shared" si="14"/>
        <v>197572</v>
      </c>
    </row>
    <row r="55" spans="1:34" x14ac:dyDescent="0.25">
      <c r="A55" s="49" t="s">
        <v>31</v>
      </c>
      <c r="B55" s="49"/>
      <c r="C55" s="49"/>
      <c r="D55" s="43"/>
      <c r="E55" s="43"/>
      <c r="F55" s="43"/>
      <c r="G55" s="43"/>
      <c r="H55" s="41"/>
      <c r="I55" s="43"/>
      <c r="J55" s="43"/>
      <c r="K55" s="43"/>
      <c r="L55" s="43"/>
      <c r="M55" s="43"/>
      <c r="N55" s="43"/>
      <c r="O55" s="43"/>
      <c r="P55" s="43"/>
      <c r="AH55" s="43">
        <f t="shared" si="14"/>
        <v>0</v>
      </c>
    </row>
    <row r="56" spans="1:34" x14ac:dyDescent="0.25">
      <c r="A56" s="49" t="s">
        <v>32</v>
      </c>
      <c r="B56" s="49"/>
      <c r="C56" s="49"/>
      <c r="D56" s="43"/>
      <c r="E56" s="43"/>
      <c r="F56" s="43"/>
      <c r="G56" s="52"/>
      <c r="H56" s="41"/>
      <c r="I56" s="43"/>
      <c r="J56" s="43"/>
      <c r="K56" s="43"/>
      <c r="L56" s="43"/>
      <c r="M56" s="43"/>
      <c r="N56" s="43"/>
      <c r="O56" s="43"/>
      <c r="P56" s="43"/>
      <c r="AH56" s="43">
        <f t="shared" si="14"/>
        <v>0</v>
      </c>
    </row>
    <row r="57" spans="1:34" x14ac:dyDescent="0.25">
      <c r="A57" s="49" t="s">
        <v>33</v>
      </c>
      <c r="B57" s="49"/>
      <c r="C57" s="49"/>
      <c r="D57" s="43">
        <v>87745</v>
      </c>
      <c r="E57" s="43"/>
      <c r="F57" s="52"/>
      <c r="G57" s="52"/>
      <c r="H57" s="41"/>
      <c r="I57" s="43"/>
      <c r="J57" s="43"/>
      <c r="K57" s="43"/>
      <c r="L57" s="43"/>
      <c r="M57" s="43"/>
      <c r="N57" s="43"/>
      <c r="O57" s="43"/>
      <c r="P57" s="43"/>
      <c r="AH57" s="43">
        <f t="shared" si="14"/>
        <v>87745</v>
      </c>
    </row>
    <row r="58" spans="1:34" x14ac:dyDescent="0.25">
      <c r="A58" s="49" t="s">
        <v>56</v>
      </c>
      <c r="B58" s="49"/>
      <c r="C58" s="49"/>
      <c r="D58" s="41">
        <v>0</v>
      </c>
      <c r="E58" s="43"/>
      <c r="F58" s="43">
        <v>0</v>
      </c>
      <c r="G58" s="43"/>
      <c r="H58" s="41"/>
      <c r="I58" s="43"/>
      <c r="J58" s="43"/>
      <c r="K58" s="43"/>
      <c r="L58" s="43">
        <v>0</v>
      </c>
      <c r="M58" s="43">
        <v>0</v>
      </c>
      <c r="N58" s="43">
        <v>0</v>
      </c>
      <c r="O58" s="43">
        <v>0</v>
      </c>
      <c r="P58" s="43"/>
      <c r="AH58" s="43">
        <f t="shared" si="14"/>
        <v>0</v>
      </c>
    </row>
    <row r="59" spans="1:34" x14ac:dyDescent="0.25">
      <c r="A59" s="49" t="s">
        <v>57</v>
      </c>
      <c r="B59" s="49"/>
      <c r="C59" s="49"/>
      <c r="D59" s="41">
        <v>0</v>
      </c>
      <c r="E59" s="43"/>
      <c r="F59" s="43">
        <v>0</v>
      </c>
      <c r="G59" s="43"/>
      <c r="H59" s="41"/>
      <c r="I59" s="43"/>
      <c r="J59" s="43"/>
      <c r="K59" s="43"/>
      <c r="L59" s="43">
        <v>0</v>
      </c>
      <c r="M59" s="43">
        <v>0</v>
      </c>
      <c r="N59" s="43">
        <v>0</v>
      </c>
      <c r="O59" s="43">
        <v>0</v>
      </c>
      <c r="P59" s="43"/>
      <c r="AH59" s="43">
        <f t="shared" si="14"/>
        <v>0</v>
      </c>
    </row>
    <row r="60" spans="1:34" x14ac:dyDescent="0.25">
      <c r="A60" s="49" t="s">
        <v>34</v>
      </c>
      <c r="B60" s="49"/>
      <c r="C60" s="49"/>
      <c r="D60" s="41">
        <v>0</v>
      </c>
      <c r="E60" s="43"/>
      <c r="F60" s="43">
        <v>0</v>
      </c>
      <c r="G60" s="43"/>
      <c r="H60" s="41"/>
      <c r="I60" s="43"/>
      <c r="J60" s="43"/>
      <c r="K60" s="43"/>
      <c r="L60" s="43">
        <v>0</v>
      </c>
      <c r="M60" s="43">
        <v>0</v>
      </c>
      <c r="N60" s="43">
        <v>0</v>
      </c>
      <c r="O60" s="43">
        <v>0</v>
      </c>
      <c r="P60" s="43"/>
      <c r="AH60" s="43">
        <f t="shared" si="14"/>
        <v>0</v>
      </c>
    </row>
    <row r="61" spans="1:34" x14ac:dyDescent="0.25">
      <c r="A61" s="49" t="s">
        <v>58</v>
      </c>
      <c r="B61" s="49"/>
      <c r="C61" s="49"/>
      <c r="D61" s="41">
        <v>0</v>
      </c>
      <c r="E61" s="43"/>
      <c r="F61" s="43">
        <v>0</v>
      </c>
      <c r="G61" s="43"/>
      <c r="H61" s="41"/>
      <c r="I61" s="43"/>
      <c r="J61" s="43"/>
      <c r="K61" s="43"/>
      <c r="L61" s="43">
        <v>0</v>
      </c>
      <c r="M61" s="43">
        <v>0</v>
      </c>
      <c r="N61" s="43">
        <v>0</v>
      </c>
      <c r="O61" s="43">
        <v>0</v>
      </c>
      <c r="P61" s="43"/>
      <c r="AH61" s="41">
        <f>SUM(D61:O61)</f>
        <v>0</v>
      </c>
    </row>
    <row r="62" spans="1:34" s="53" customFormat="1" ht="15.75" x14ac:dyDescent="0.25">
      <c r="A62" s="3" t="s">
        <v>59</v>
      </c>
      <c r="B62" s="3"/>
      <c r="C62" s="3"/>
      <c r="D62" s="39">
        <f>SUM(D63:D73)</f>
        <v>0</v>
      </c>
      <c r="E62" s="56">
        <f>SUM(E63:E65)</f>
        <v>0</v>
      </c>
      <c r="F62" s="43">
        <f t="shared" ref="F62:O62" si="15">SUM(F63:F65)</f>
        <v>0</v>
      </c>
      <c r="G62" s="44">
        <f>SUM(G63:G65)</f>
        <v>0</v>
      </c>
      <c r="H62" s="48">
        <f t="shared" si="15"/>
        <v>0</v>
      </c>
      <c r="I62" s="43">
        <f t="shared" si="15"/>
        <v>0</v>
      </c>
      <c r="J62" s="43">
        <f t="shared" si="15"/>
        <v>0</v>
      </c>
      <c r="K62" s="44">
        <f>SUM(K63:K65)</f>
        <v>0</v>
      </c>
      <c r="L62" s="43">
        <f t="shared" si="15"/>
        <v>0</v>
      </c>
      <c r="M62" s="43">
        <f t="shared" si="15"/>
        <v>0</v>
      </c>
      <c r="N62" s="43">
        <f t="shared" si="15"/>
        <v>0</v>
      </c>
      <c r="O62" s="43">
        <f t="shared" si="15"/>
        <v>0</v>
      </c>
      <c r="P62" s="43"/>
      <c r="AH62" s="39">
        <f>+AH63+AH64+AH65+AH66+AH68+AH69+AH71+AH72+AH73</f>
        <v>0</v>
      </c>
    </row>
    <row r="63" spans="1:34" ht="15" customHeight="1" x14ac:dyDescent="0.25">
      <c r="A63" s="49" t="s">
        <v>60</v>
      </c>
      <c r="B63" s="49"/>
      <c r="C63" s="49"/>
      <c r="D63" s="41">
        <v>0</v>
      </c>
      <c r="E63" s="43"/>
      <c r="F63" s="43">
        <v>0</v>
      </c>
      <c r="G63" s="44"/>
      <c r="H63" s="41"/>
      <c r="I63" s="43"/>
      <c r="J63" s="43"/>
      <c r="K63" s="43"/>
      <c r="L63" s="43"/>
      <c r="M63" s="43"/>
      <c r="N63" s="43"/>
      <c r="O63" s="43"/>
      <c r="P63" s="43"/>
      <c r="AH63" s="41">
        <f t="shared" ref="AH63:AH73" si="16">SUM(D63:O63)</f>
        <v>0</v>
      </c>
    </row>
    <row r="64" spans="1:34" ht="15" customHeight="1" x14ac:dyDescent="0.25">
      <c r="A64" s="49" t="s">
        <v>61</v>
      </c>
      <c r="B64" s="49"/>
      <c r="C64" s="49"/>
      <c r="D64" s="41">
        <v>0</v>
      </c>
      <c r="E64" s="43"/>
      <c r="F64" s="43">
        <v>0</v>
      </c>
      <c r="G64" s="44"/>
      <c r="H64" s="41"/>
      <c r="I64" s="43"/>
      <c r="J64" s="43"/>
      <c r="K64" s="43"/>
      <c r="L64" s="43">
        <v>0</v>
      </c>
      <c r="M64" s="43">
        <v>0</v>
      </c>
      <c r="N64" s="43">
        <v>0</v>
      </c>
      <c r="O64" s="43">
        <v>0</v>
      </c>
      <c r="P64" s="43"/>
      <c r="AH64" s="41">
        <f t="shared" si="16"/>
        <v>0</v>
      </c>
    </row>
    <row r="65" spans="1:34" ht="15.75" customHeight="1" x14ac:dyDescent="0.25">
      <c r="A65" s="49" t="s">
        <v>62</v>
      </c>
      <c r="B65" s="49"/>
      <c r="C65" s="49"/>
      <c r="D65" s="41">
        <v>0</v>
      </c>
      <c r="E65" s="44"/>
      <c r="F65" s="43">
        <v>0</v>
      </c>
      <c r="G65" s="44"/>
      <c r="H65" s="41"/>
      <c r="I65" s="43"/>
      <c r="J65" s="43"/>
      <c r="K65" s="43"/>
      <c r="L65" s="43">
        <v>0</v>
      </c>
      <c r="M65" s="43">
        <v>0</v>
      </c>
      <c r="N65" s="43">
        <v>0</v>
      </c>
      <c r="O65" s="43">
        <v>0</v>
      </c>
      <c r="P65" s="43"/>
      <c r="AH65" s="41">
        <f t="shared" si="16"/>
        <v>0</v>
      </c>
    </row>
    <row r="66" spans="1:34" ht="10.5" customHeight="1" x14ac:dyDescent="0.25">
      <c r="A66" s="49" t="s">
        <v>63</v>
      </c>
      <c r="B66" s="49"/>
      <c r="C66" s="49"/>
      <c r="D66" s="41">
        <v>0</v>
      </c>
      <c r="E66" s="44"/>
      <c r="F66" s="43">
        <v>0</v>
      </c>
      <c r="G66" s="44"/>
      <c r="H66" s="41"/>
      <c r="I66" s="43"/>
      <c r="J66" s="43"/>
      <c r="K66" s="43"/>
      <c r="L66" s="43">
        <v>0</v>
      </c>
      <c r="M66" s="43">
        <v>0</v>
      </c>
      <c r="N66" s="43">
        <v>0</v>
      </c>
      <c r="O66" s="43">
        <v>0</v>
      </c>
      <c r="P66" s="43"/>
      <c r="AH66" s="41">
        <f t="shared" si="16"/>
        <v>0</v>
      </c>
    </row>
    <row r="67" spans="1:34" x14ac:dyDescent="0.25">
      <c r="A67" s="3" t="s">
        <v>64</v>
      </c>
      <c r="B67" s="3"/>
      <c r="C67" s="3"/>
      <c r="D67" s="44">
        <f>SUM(D68:D69)</f>
        <v>0</v>
      </c>
      <c r="E67" s="44"/>
      <c r="G67" s="44"/>
      <c r="H67" s="41"/>
      <c r="AH67" s="41">
        <f t="shared" si="16"/>
        <v>0</v>
      </c>
    </row>
    <row r="68" spans="1:34" x14ac:dyDescent="0.25">
      <c r="A68" s="49" t="s">
        <v>65</v>
      </c>
      <c r="B68" s="49"/>
      <c r="C68" s="49"/>
      <c r="D68" s="41">
        <v>0</v>
      </c>
      <c r="E68" s="43"/>
      <c r="F68" s="43">
        <v>0</v>
      </c>
      <c r="G68" s="44"/>
      <c r="H68" s="41"/>
      <c r="I68" s="43"/>
      <c r="J68" s="43"/>
      <c r="K68" s="43"/>
      <c r="L68" s="43">
        <v>0</v>
      </c>
      <c r="M68" s="43">
        <v>0</v>
      </c>
      <c r="N68" s="43">
        <v>0</v>
      </c>
      <c r="O68" s="43">
        <v>0</v>
      </c>
      <c r="P68" s="43"/>
      <c r="AH68" s="41">
        <f t="shared" si="16"/>
        <v>0</v>
      </c>
    </row>
    <row r="69" spans="1:34" x14ac:dyDescent="0.25">
      <c r="A69" s="49" t="s">
        <v>66</v>
      </c>
      <c r="B69" s="49"/>
      <c r="C69" s="49"/>
      <c r="D69" s="41">
        <v>0</v>
      </c>
      <c r="E69" s="43"/>
      <c r="F69" s="43">
        <v>0</v>
      </c>
      <c r="G69" s="44"/>
      <c r="H69" s="41"/>
      <c r="I69" s="43"/>
      <c r="J69" s="43"/>
      <c r="K69" s="43"/>
      <c r="L69" s="43">
        <v>0</v>
      </c>
      <c r="M69" s="43">
        <v>0</v>
      </c>
      <c r="N69" s="43">
        <v>0</v>
      </c>
      <c r="O69" s="43">
        <v>0</v>
      </c>
      <c r="AH69" s="41">
        <f t="shared" si="16"/>
        <v>0</v>
      </c>
    </row>
    <row r="70" spans="1:34" x14ac:dyDescent="0.25">
      <c r="A70" s="3" t="s">
        <v>67</v>
      </c>
      <c r="B70" s="3"/>
      <c r="C70" s="3"/>
      <c r="D70" s="44">
        <f>SUM(D71:D72)</f>
        <v>0</v>
      </c>
      <c r="E70" s="44"/>
      <c r="F70" s="43"/>
      <c r="G70" s="43"/>
      <c r="H70" s="41"/>
      <c r="I70" s="43"/>
      <c r="J70" s="43"/>
      <c r="AH70" s="41">
        <f t="shared" si="16"/>
        <v>0</v>
      </c>
    </row>
    <row r="71" spans="1:34" x14ac:dyDescent="0.25">
      <c r="A71" s="49" t="s">
        <v>68</v>
      </c>
      <c r="B71" s="49"/>
      <c r="C71" s="49"/>
      <c r="D71" s="41">
        <v>0</v>
      </c>
      <c r="E71" s="44"/>
      <c r="F71" s="43">
        <v>0</v>
      </c>
      <c r="G71" s="43"/>
      <c r="H71" s="41"/>
      <c r="I71" s="43"/>
      <c r="J71" s="43"/>
      <c r="K71" s="43"/>
      <c r="L71" s="43">
        <v>0</v>
      </c>
      <c r="M71" s="43">
        <v>0</v>
      </c>
      <c r="N71" s="43">
        <v>0</v>
      </c>
      <c r="O71" s="43">
        <v>0</v>
      </c>
      <c r="AH71" s="41">
        <f t="shared" si="16"/>
        <v>0</v>
      </c>
    </row>
    <row r="72" spans="1:34" x14ac:dyDescent="0.25">
      <c r="A72" s="49" t="s">
        <v>69</v>
      </c>
      <c r="B72" s="49"/>
      <c r="C72" s="49"/>
      <c r="D72" s="41">
        <v>0</v>
      </c>
      <c r="E72" s="44"/>
      <c r="F72" s="43">
        <v>0</v>
      </c>
      <c r="G72" s="43"/>
      <c r="H72" s="41"/>
      <c r="I72" s="43"/>
      <c r="J72" s="43"/>
      <c r="K72" s="43"/>
      <c r="L72" s="43">
        <v>0</v>
      </c>
      <c r="M72" s="43">
        <v>0</v>
      </c>
      <c r="N72" s="43">
        <v>0</v>
      </c>
      <c r="O72" s="43">
        <v>0</v>
      </c>
      <c r="AH72" s="41">
        <f t="shared" si="16"/>
        <v>0</v>
      </c>
    </row>
    <row r="73" spans="1:34" x14ac:dyDescent="0.25">
      <c r="A73" s="49" t="s">
        <v>70</v>
      </c>
      <c r="B73" s="49"/>
      <c r="C73" s="49"/>
      <c r="D73" s="41">
        <v>0</v>
      </c>
      <c r="E73" s="44"/>
      <c r="F73" s="43">
        <v>0</v>
      </c>
      <c r="G73" s="43"/>
      <c r="H73" s="41"/>
      <c r="I73" s="43"/>
      <c r="J73" s="43"/>
      <c r="K73" s="43"/>
      <c r="L73" s="43">
        <v>0</v>
      </c>
      <c r="M73" s="43">
        <v>0</v>
      </c>
      <c r="N73" s="43">
        <v>0</v>
      </c>
      <c r="O73" s="43">
        <v>0</v>
      </c>
      <c r="AH73" s="41">
        <f t="shared" si="16"/>
        <v>0</v>
      </c>
    </row>
    <row r="74" spans="1:34" x14ac:dyDescent="0.25">
      <c r="A74" s="6" t="s">
        <v>35</v>
      </c>
      <c r="B74" s="6"/>
      <c r="C74" s="6"/>
      <c r="D74" s="45">
        <f>SUM(D10,D16,D26,D36,D44,D52,D62)</f>
        <v>99538031</v>
      </c>
      <c r="E74" s="45">
        <f>SUM(E10,E16,E26,E36,E44,E52,E62)</f>
        <v>0</v>
      </c>
      <c r="F74" s="45">
        <f>SUM(F10,F16,F26,F36,F44,F52,F62)</f>
        <v>0</v>
      </c>
      <c r="G74" s="45">
        <f t="shared" ref="G74:O74" si="17">+G10+G16+G26+G36+G44+G52+G62+G67+G70</f>
        <v>0</v>
      </c>
      <c r="H74" s="45">
        <f>+H10+H16+H26+H36+H44+H52+H62+H67+H70</f>
        <v>0</v>
      </c>
      <c r="I74" s="45">
        <f t="shared" si="17"/>
        <v>0</v>
      </c>
      <c r="J74" s="45">
        <f t="shared" si="17"/>
        <v>0</v>
      </c>
      <c r="K74" s="45">
        <f t="shared" si="17"/>
        <v>0</v>
      </c>
      <c r="L74" s="45">
        <f t="shared" si="17"/>
        <v>0</v>
      </c>
      <c r="M74" s="45">
        <f t="shared" si="17"/>
        <v>0</v>
      </c>
      <c r="N74" s="45">
        <f t="shared" si="17"/>
        <v>0</v>
      </c>
      <c r="O74" s="45">
        <f t="shared" si="17"/>
        <v>0</v>
      </c>
      <c r="AH74" s="45">
        <f>+AH10+AH16+AH26+AH36+AH44+AH52+AH62</f>
        <v>99538031</v>
      </c>
    </row>
    <row r="75" spans="1:34" x14ac:dyDescent="0.25">
      <c r="A75" s="4"/>
      <c r="B75" s="4"/>
      <c r="C75" s="4"/>
      <c r="D75" s="43"/>
      <c r="F75" s="60"/>
      <c r="H75" s="41"/>
      <c r="AH75" s="37"/>
    </row>
    <row r="76" spans="1:34" s="53" customFormat="1" x14ac:dyDescent="0.25">
      <c r="A76" s="1" t="s">
        <v>71</v>
      </c>
      <c r="B76" s="99"/>
      <c r="C76" s="99"/>
      <c r="D76" s="64">
        <f>SUM(D77+D80+D83)</f>
        <v>0</v>
      </c>
      <c r="E76" s="68">
        <f t="shared" ref="E76:J76" si="18">SUM(E77+E80+E83)</f>
        <v>0</v>
      </c>
      <c r="F76" s="68">
        <f t="shared" si="18"/>
        <v>0</v>
      </c>
      <c r="G76" s="40">
        <f t="shared" si="18"/>
        <v>0</v>
      </c>
      <c r="H76" s="65">
        <f t="shared" si="18"/>
        <v>0</v>
      </c>
      <c r="I76" s="44">
        <f t="shared" si="18"/>
        <v>0</v>
      </c>
      <c r="J76" s="44">
        <f t="shared" si="18"/>
        <v>0</v>
      </c>
      <c r="K76" s="2"/>
      <c r="L76" s="2"/>
      <c r="M76" s="2"/>
      <c r="N76" s="2"/>
      <c r="O76" s="2"/>
      <c r="AH76" s="64">
        <f>+AH77+AH80+AH83</f>
        <v>0</v>
      </c>
    </row>
    <row r="77" spans="1:34" s="53" customFormat="1" x14ac:dyDescent="0.25">
      <c r="A77" s="3" t="s">
        <v>72</v>
      </c>
      <c r="B77" s="3"/>
      <c r="C77" s="3"/>
      <c r="D77" s="44">
        <v>0</v>
      </c>
      <c r="E77" s="57">
        <f t="shared" ref="E77:K77" si="19">SUM(E78:E79)</f>
        <v>0</v>
      </c>
      <c r="F77" s="48">
        <f t="shared" si="19"/>
        <v>0</v>
      </c>
      <c r="G77" s="40">
        <f>SUM(G78:G79)</f>
        <v>0</v>
      </c>
      <c r="H77" s="61">
        <f t="shared" si="19"/>
        <v>0</v>
      </c>
      <c r="I77" s="43">
        <f t="shared" si="19"/>
        <v>0</v>
      </c>
      <c r="J77" s="43">
        <f t="shared" si="19"/>
        <v>0</v>
      </c>
      <c r="K77" s="44">
        <f t="shared" si="19"/>
        <v>0</v>
      </c>
      <c r="AH77" s="57">
        <f>+AH78+AH79</f>
        <v>0</v>
      </c>
    </row>
    <row r="78" spans="1:34" x14ac:dyDescent="0.25">
      <c r="A78" s="49" t="s">
        <v>73</v>
      </c>
      <c r="B78" s="49"/>
      <c r="C78" s="49"/>
      <c r="D78" s="43"/>
      <c r="E78" s="43"/>
      <c r="F78" s="44"/>
      <c r="G78" s="52"/>
      <c r="H78" s="63"/>
      <c r="K78" s="41"/>
      <c r="AH78" s="41"/>
    </row>
    <row r="79" spans="1:34" x14ac:dyDescent="0.25">
      <c r="A79" s="49" t="s">
        <v>74</v>
      </c>
      <c r="B79" s="49"/>
      <c r="C79" s="49"/>
      <c r="D79" s="43">
        <v>0</v>
      </c>
      <c r="E79" s="44"/>
      <c r="F79" s="44">
        <v>0</v>
      </c>
      <c r="G79" s="44"/>
      <c r="H79" s="41"/>
      <c r="I79" s="41"/>
      <c r="K79" s="41"/>
      <c r="AH79" s="41">
        <f>SUM(D79:O79)</f>
        <v>0</v>
      </c>
    </row>
    <row r="80" spans="1:34" x14ac:dyDescent="0.25">
      <c r="A80" s="3" t="s">
        <v>75</v>
      </c>
      <c r="B80" s="3"/>
      <c r="C80" s="3"/>
      <c r="D80" s="44">
        <f>SUM(D81:D82)</f>
        <v>0</v>
      </c>
      <c r="E80" s="44">
        <v>0</v>
      </c>
      <c r="F80" s="44">
        <f>+F81+F82</f>
        <v>0</v>
      </c>
      <c r="G80" s="48">
        <f>+G81+G82</f>
        <v>0</v>
      </c>
      <c r="H80" s="48">
        <f>+H81+H82</f>
        <v>0</v>
      </c>
      <c r="I80" s="57">
        <f>+I81+I82</f>
        <v>0</v>
      </c>
      <c r="J80" s="57">
        <f>SUM(J81+J82)</f>
        <v>0</v>
      </c>
      <c r="K80" s="41"/>
      <c r="AH80" s="57">
        <f>SUM(AH81+AH82)</f>
        <v>0</v>
      </c>
    </row>
    <row r="81" spans="1:34" x14ac:dyDescent="0.25">
      <c r="A81" s="49" t="s">
        <v>76</v>
      </c>
      <c r="B81" s="49"/>
      <c r="C81" s="49"/>
      <c r="D81" s="43">
        <v>0</v>
      </c>
      <c r="E81" s="44">
        <v>0</v>
      </c>
      <c r="F81" s="52"/>
      <c r="G81" s="44"/>
      <c r="H81" s="41"/>
      <c r="I81" s="41"/>
      <c r="J81" s="43"/>
      <c r="K81" s="41"/>
      <c r="AH81" s="48">
        <f>SUM(D81+E81+F81+G81+H81+I81)</f>
        <v>0</v>
      </c>
    </row>
    <row r="82" spans="1:34" x14ac:dyDescent="0.25">
      <c r="A82" s="49" t="s">
        <v>77</v>
      </c>
      <c r="B82" s="49"/>
      <c r="C82" s="49"/>
      <c r="D82" s="43">
        <v>0</v>
      </c>
      <c r="E82" s="44">
        <v>0</v>
      </c>
      <c r="F82" s="44">
        <v>0</v>
      </c>
      <c r="G82" s="44"/>
      <c r="H82" s="41"/>
      <c r="K82" s="41"/>
      <c r="AH82" s="41">
        <f>SUM(D82:O82)</f>
        <v>0</v>
      </c>
    </row>
    <row r="83" spans="1:34" x14ac:dyDescent="0.25">
      <c r="A83" s="3" t="s">
        <v>78</v>
      </c>
      <c r="B83" s="3"/>
      <c r="C83" s="3"/>
      <c r="D83" s="44">
        <v>0</v>
      </c>
      <c r="E83" s="44">
        <f t="shared" ref="E83:O83" si="20">+E84</f>
        <v>0</v>
      </c>
      <c r="F83" s="44">
        <f t="shared" si="20"/>
        <v>0</v>
      </c>
      <c r="G83" s="44">
        <f t="shared" si="20"/>
        <v>0</v>
      </c>
      <c r="H83" s="41">
        <f t="shared" si="20"/>
        <v>0</v>
      </c>
      <c r="I83" s="44">
        <f t="shared" si="20"/>
        <v>0</v>
      </c>
      <c r="J83" s="44">
        <f t="shared" si="20"/>
        <v>0</v>
      </c>
      <c r="K83" s="44">
        <f t="shared" si="20"/>
        <v>0</v>
      </c>
      <c r="L83" s="44">
        <f t="shared" si="20"/>
        <v>0</v>
      </c>
      <c r="M83" s="44">
        <f t="shared" si="20"/>
        <v>0</v>
      </c>
      <c r="N83" s="44">
        <f t="shared" si="20"/>
        <v>0</v>
      </c>
      <c r="O83" s="44">
        <f t="shared" si="20"/>
        <v>0</v>
      </c>
      <c r="AH83" s="41">
        <f>+AH84</f>
        <v>0</v>
      </c>
    </row>
    <row r="84" spans="1:34" x14ac:dyDescent="0.25">
      <c r="A84" s="49" t="s">
        <v>79</v>
      </c>
      <c r="B84" s="49"/>
      <c r="C84" s="49"/>
      <c r="D84" s="43">
        <v>0</v>
      </c>
      <c r="E84" s="44">
        <v>0</v>
      </c>
      <c r="F84" s="44">
        <v>0</v>
      </c>
      <c r="G84" s="44"/>
      <c r="H84" s="41"/>
      <c r="AH84" s="41">
        <f>SUM(D84:O84)</f>
        <v>0</v>
      </c>
    </row>
    <row r="85" spans="1:34" x14ac:dyDescent="0.25">
      <c r="A85" s="6" t="s">
        <v>80</v>
      </c>
      <c r="B85" s="6"/>
      <c r="C85" s="6"/>
      <c r="D85" s="45">
        <f>+D77+D80+D83</f>
        <v>0</v>
      </c>
      <c r="E85" s="59">
        <f t="shared" ref="E85:K85" si="21">SUM(E78+E80+E83)</f>
        <v>0</v>
      </c>
      <c r="F85" s="45">
        <f t="shared" si="21"/>
        <v>0</v>
      </c>
      <c r="G85" s="45">
        <f t="shared" si="21"/>
        <v>0</v>
      </c>
      <c r="H85" s="59">
        <f t="shared" si="21"/>
        <v>0</v>
      </c>
      <c r="I85" s="59">
        <f t="shared" si="21"/>
        <v>0</v>
      </c>
      <c r="J85" s="59">
        <f t="shared" si="21"/>
        <v>0</v>
      </c>
      <c r="K85" s="59">
        <f t="shared" si="21"/>
        <v>0</v>
      </c>
      <c r="L85" s="5"/>
      <c r="M85" s="5"/>
      <c r="N85" s="5"/>
      <c r="O85" s="5"/>
      <c r="AH85" s="45">
        <f>+AH76+AH83</f>
        <v>0</v>
      </c>
    </row>
    <row r="86" spans="1:34" x14ac:dyDescent="0.25">
      <c r="H86" s="41"/>
      <c r="AH86" s="37"/>
    </row>
    <row r="87" spans="1:34" ht="15.75" x14ac:dyDescent="0.25">
      <c r="A87" s="7" t="s">
        <v>81</v>
      </c>
      <c r="B87" s="7"/>
      <c r="C87" s="7"/>
      <c r="D87" s="46">
        <f>+D74+D85</f>
        <v>99538031</v>
      </c>
      <c r="E87" s="46">
        <f t="shared" ref="E87:K87" si="22">+E74+E85</f>
        <v>0</v>
      </c>
      <c r="F87" s="46">
        <f t="shared" si="22"/>
        <v>0</v>
      </c>
      <c r="G87" s="46">
        <f t="shared" si="22"/>
        <v>0</v>
      </c>
      <c r="H87" s="46">
        <f t="shared" si="22"/>
        <v>0</v>
      </c>
      <c r="I87" s="46">
        <f t="shared" si="22"/>
        <v>0</v>
      </c>
      <c r="J87" s="46">
        <f t="shared" si="22"/>
        <v>0</v>
      </c>
      <c r="K87" s="46">
        <f t="shared" si="22"/>
        <v>0</v>
      </c>
      <c r="L87" s="9"/>
      <c r="M87" s="9"/>
      <c r="N87" s="9"/>
      <c r="O87" s="9"/>
      <c r="AH87" s="46">
        <f>+AH74+AH85</f>
        <v>99538031</v>
      </c>
    </row>
    <row r="88" spans="1:34" x14ac:dyDescent="0.25">
      <c r="A88" t="s">
        <v>103</v>
      </c>
    </row>
    <row r="89" spans="1:34" x14ac:dyDescent="0.25">
      <c r="A89" t="s">
        <v>114</v>
      </c>
      <c r="E89" s="37"/>
      <c r="G89" s="37"/>
    </row>
    <row r="90" spans="1:34" x14ac:dyDescent="0.25">
      <c r="A90" t="s">
        <v>102</v>
      </c>
      <c r="E90" s="37"/>
    </row>
    <row r="91" spans="1:34" x14ac:dyDescent="0.25">
      <c r="E91" s="37"/>
    </row>
    <row r="93" spans="1:34" x14ac:dyDescent="0.25">
      <c r="A93" s="75"/>
      <c r="B93" s="75"/>
      <c r="C93" s="75"/>
      <c r="D93" s="75"/>
      <c r="E93" s="76"/>
      <c r="F93" s="75"/>
      <c r="G93" s="76"/>
      <c r="H93" s="75"/>
      <c r="I93" s="76"/>
      <c r="J93" s="75"/>
      <c r="K93" s="76"/>
      <c r="L93" s="75"/>
      <c r="M93" s="76"/>
      <c r="N93" s="75"/>
      <c r="O93" s="76"/>
      <c r="P93" s="75"/>
      <c r="Q93" s="76"/>
      <c r="R93" s="75"/>
      <c r="S93" s="76"/>
      <c r="T93" s="75"/>
      <c r="U93" s="76"/>
      <c r="V93" s="75"/>
      <c r="W93" s="76"/>
      <c r="X93" s="75"/>
      <c r="Y93" s="76"/>
      <c r="Z93" s="75"/>
      <c r="AA93" s="76"/>
      <c r="AB93" s="75"/>
      <c r="AC93" s="76"/>
      <c r="AD93" s="75"/>
      <c r="AE93" s="76"/>
      <c r="AF93" s="75"/>
      <c r="AG93" s="76"/>
    </row>
    <row r="94" spans="1:34" x14ac:dyDescent="0.25">
      <c r="A94" s="103" t="s">
        <v>117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03"/>
    </row>
    <row r="95" spans="1:34" x14ac:dyDescent="0.25">
      <c r="A95" s="103" t="s">
        <v>123</v>
      </c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</row>
    <row r="97" spans="1:11" x14ac:dyDescent="0.25">
      <c r="A97" s="69"/>
      <c r="B97" s="70"/>
      <c r="C97" s="70"/>
    </row>
    <row r="98" spans="1:11" x14ac:dyDescent="0.25">
      <c r="A98" s="72"/>
      <c r="B98" s="72"/>
      <c r="C98" s="72"/>
      <c r="D98" s="73"/>
      <c r="E98" s="72"/>
      <c r="F98" s="72"/>
      <c r="G98" s="72"/>
      <c r="H98" s="72"/>
      <c r="I98" s="74"/>
      <c r="J98" s="72"/>
      <c r="K98" s="72"/>
    </row>
    <row r="99" spans="1:11" x14ac:dyDescent="0.25">
      <c r="A99" s="72"/>
      <c r="B99" s="72"/>
      <c r="C99" s="72"/>
      <c r="D99" s="73"/>
      <c r="E99" s="72"/>
      <c r="F99" s="72"/>
      <c r="G99" s="72"/>
      <c r="H99" s="72"/>
      <c r="I99" s="74"/>
      <c r="J99" s="72"/>
      <c r="K99" s="72"/>
    </row>
    <row r="100" spans="1:11" ht="17.25" x14ac:dyDescent="0.4">
      <c r="A100" s="72"/>
      <c r="B100" s="72"/>
      <c r="C100" s="72"/>
      <c r="D100" s="76"/>
      <c r="E100" s="75"/>
      <c r="F100" s="72"/>
      <c r="G100" s="72"/>
      <c r="H100" s="72"/>
      <c r="I100" s="74"/>
      <c r="J100" s="104" t="s">
        <v>115</v>
      </c>
      <c r="K100" s="104"/>
    </row>
    <row r="101" spans="1:11" x14ac:dyDescent="0.25">
      <c r="A101" s="72"/>
      <c r="B101" s="72"/>
      <c r="C101" s="72"/>
      <c r="D101" s="105"/>
      <c r="E101" s="105"/>
      <c r="F101" s="72"/>
      <c r="G101" s="72"/>
      <c r="H101" s="72"/>
      <c r="I101" s="74"/>
      <c r="J101" s="72" t="s">
        <v>116</v>
      </c>
      <c r="K101" s="72"/>
    </row>
    <row r="102" spans="1:11" x14ac:dyDescent="0.25">
      <c r="A102" s="75"/>
      <c r="B102" s="75"/>
      <c r="C102" s="75"/>
      <c r="D102" s="75"/>
      <c r="E102" s="72"/>
      <c r="F102" s="72"/>
      <c r="G102" s="72"/>
      <c r="H102" s="72"/>
      <c r="I102" s="74"/>
      <c r="J102" s="72"/>
      <c r="K102" s="72"/>
    </row>
  </sheetData>
  <mergeCells count="9">
    <mergeCell ref="A95:AG95"/>
    <mergeCell ref="J100:K100"/>
    <mergeCell ref="D101:E101"/>
    <mergeCell ref="A94:AG94"/>
    <mergeCell ref="A2:O2"/>
    <mergeCell ref="A3:O3"/>
    <mergeCell ref="A4:O4"/>
    <mergeCell ref="A5:O5"/>
    <mergeCell ref="D7:AH7"/>
  </mergeCells>
  <pageMargins left="0.51181102362204722" right="0" top="0.15748031496062992" bottom="0" header="0.31496062992125984" footer="0.31496062992125984"/>
  <pageSetup paperSize="258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91"/>
  <sheetViews>
    <sheetView workbookViewId="0">
      <selection activeCell="J18" sqref="J18:K19"/>
    </sheetView>
  </sheetViews>
  <sheetFormatPr baseColWidth="10" defaultRowHeight="15" x14ac:dyDescent="0.25"/>
  <cols>
    <col min="2" max="2" width="4.5703125" bestFit="1" customWidth="1"/>
    <col min="3" max="3" width="13.85546875" customWidth="1"/>
    <col min="4" max="4" width="21.28515625" customWidth="1"/>
    <col min="5" max="5" width="17.140625" bestFit="1" customWidth="1"/>
    <col min="6" max="6" width="13.7109375" bestFit="1" customWidth="1"/>
    <col min="7" max="7" width="12.7109375" bestFit="1" customWidth="1"/>
    <col min="9" max="9" width="16" customWidth="1"/>
    <col min="10" max="10" width="15.42578125" customWidth="1"/>
    <col min="11" max="11" width="15" style="53" customWidth="1"/>
    <col min="13" max="13" width="13.42578125" customWidth="1"/>
  </cols>
  <sheetData>
    <row r="3" spans="2:13" x14ac:dyDescent="0.25">
      <c r="B3" s="37">
        <f>+'Plantilla Ejecución '!K9</f>
        <v>0</v>
      </c>
      <c r="E3" t="s">
        <v>113</v>
      </c>
    </row>
    <row r="4" spans="2:13" x14ac:dyDescent="0.25">
      <c r="B4" s="37">
        <v>0</v>
      </c>
      <c r="C4" s="37"/>
      <c r="E4" s="66">
        <f>+'Plantilla Ejecución '!G9</f>
        <v>0</v>
      </c>
      <c r="F4" s="66"/>
      <c r="G4" s="66"/>
      <c r="J4" s="70"/>
    </row>
    <row r="5" spans="2:13" ht="15.75" x14ac:dyDescent="0.25">
      <c r="B5" s="37"/>
      <c r="C5" t="s">
        <v>110</v>
      </c>
      <c r="E5" s="67">
        <v>376929</v>
      </c>
      <c r="F5" s="66"/>
      <c r="G5" s="66"/>
      <c r="I5" s="80"/>
      <c r="J5" s="80"/>
      <c r="K5" s="81"/>
      <c r="M5" s="21"/>
    </row>
    <row r="6" spans="2:13" ht="15.75" x14ac:dyDescent="0.25">
      <c r="B6" s="37">
        <f>+B4+B5</f>
        <v>0</v>
      </c>
      <c r="C6" t="s">
        <v>111</v>
      </c>
      <c r="E6" s="67">
        <v>135438572</v>
      </c>
      <c r="F6" s="66"/>
      <c r="G6" s="66"/>
      <c r="J6" s="80"/>
      <c r="K6" s="81"/>
      <c r="M6" s="21"/>
    </row>
    <row r="7" spans="2:13" x14ac:dyDescent="0.25">
      <c r="B7" s="37"/>
      <c r="E7" s="66"/>
      <c r="F7" s="66"/>
      <c r="G7" s="66"/>
      <c r="J7" s="80"/>
      <c r="K7" s="81"/>
      <c r="M7" s="21"/>
    </row>
    <row r="8" spans="2:13" x14ac:dyDescent="0.25">
      <c r="E8" s="66">
        <f>+E5+E6</f>
        <v>135815501</v>
      </c>
      <c r="F8" s="66"/>
      <c r="G8" s="66"/>
      <c r="J8" s="80"/>
      <c r="K8" s="81"/>
      <c r="M8" s="21"/>
    </row>
    <row r="9" spans="2:13" x14ac:dyDescent="0.25">
      <c r="E9" s="66"/>
      <c r="F9" s="66"/>
      <c r="G9" s="66"/>
      <c r="J9" s="80"/>
      <c r="K9" s="81"/>
      <c r="M9" s="21"/>
    </row>
    <row r="10" spans="2:13" x14ac:dyDescent="0.25">
      <c r="B10" s="37">
        <f>+B3+B5</f>
        <v>0</v>
      </c>
      <c r="E10" s="66">
        <f>+E8-E4</f>
        <v>135815501</v>
      </c>
      <c r="F10" s="66"/>
      <c r="G10" s="66">
        <f>6710+5420</f>
        <v>12130</v>
      </c>
      <c r="J10" s="21"/>
      <c r="K10" s="81"/>
    </row>
    <row r="11" spans="2:13" x14ac:dyDescent="0.25">
      <c r="B11" s="37">
        <f>+B6-B10</f>
        <v>0</v>
      </c>
      <c r="E11" s="66"/>
      <c r="F11" s="66"/>
      <c r="G11" s="66"/>
      <c r="J11" s="80"/>
    </row>
    <row r="12" spans="2:13" x14ac:dyDescent="0.25">
      <c r="B12" s="37"/>
      <c r="E12" s="66"/>
      <c r="F12" s="66"/>
      <c r="G12" s="66"/>
      <c r="J12" s="80"/>
      <c r="K12" s="81"/>
    </row>
    <row r="13" spans="2:13" x14ac:dyDescent="0.25">
      <c r="D13" t="s">
        <v>108</v>
      </c>
      <c r="E13" s="66">
        <v>12998400</v>
      </c>
      <c r="F13" s="66"/>
      <c r="G13" s="66"/>
      <c r="J13" s="80"/>
      <c r="K13" s="81"/>
    </row>
    <row r="14" spans="2:13" x14ac:dyDescent="0.25">
      <c r="E14" s="66"/>
      <c r="F14" s="66"/>
      <c r="G14" s="66"/>
      <c r="J14" s="80"/>
      <c r="K14" s="81"/>
    </row>
    <row r="15" spans="2:13" x14ac:dyDescent="0.25">
      <c r="B15" s="41"/>
      <c r="D15" t="s">
        <v>112</v>
      </c>
      <c r="E15" s="66">
        <f>+E4+E13</f>
        <v>12998400</v>
      </c>
      <c r="F15" s="66"/>
      <c r="G15" s="66"/>
      <c r="J15" s="80"/>
      <c r="K15" s="81"/>
    </row>
    <row r="16" spans="2:13" x14ac:dyDescent="0.25">
      <c r="B16" s="41"/>
      <c r="E16" s="66">
        <f>+'Plantilla Ejecución '!E89</f>
        <v>0</v>
      </c>
      <c r="F16" s="66"/>
      <c r="G16" s="66"/>
      <c r="J16" s="80"/>
      <c r="K16" s="81"/>
    </row>
    <row r="17" spans="2:11" x14ac:dyDescent="0.25">
      <c r="E17" s="66">
        <f>+E16-E15</f>
        <v>-12998400</v>
      </c>
      <c r="F17" s="66"/>
      <c r="G17" s="66"/>
      <c r="J17" s="80"/>
      <c r="K17" s="81"/>
    </row>
    <row r="18" spans="2:11" x14ac:dyDescent="0.25">
      <c r="B18" s="41"/>
      <c r="K18" s="93"/>
    </row>
    <row r="19" spans="2:11" ht="21" x14ac:dyDescent="0.35">
      <c r="B19" s="41"/>
      <c r="J19" s="94"/>
      <c r="K19" s="95"/>
    </row>
    <row r="20" spans="2:11" x14ac:dyDescent="0.25">
      <c r="J20" s="80"/>
      <c r="K20" s="20"/>
    </row>
    <row r="21" spans="2:11" x14ac:dyDescent="0.25">
      <c r="J21" s="80"/>
    </row>
    <row r="22" spans="2:11" x14ac:dyDescent="0.25">
      <c r="J22" s="80"/>
      <c r="K22" s="81"/>
    </row>
    <row r="23" spans="2:11" x14ac:dyDescent="0.25">
      <c r="J23" s="80"/>
    </row>
    <row r="24" spans="2:11" x14ac:dyDescent="0.25">
      <c r="J24" s="80"/>
    </row>
    <row r="25" spans="2:11" x14ac:dyDescent="0.25">
      <c r="J25" s="80"/>
      <c r="K25" s="81"/>
    </row>
    <row r="26" spans="2:11" x14ac:dyDescent="0.25">
      <c r="J26" s="80"/>
    </row>
    <row r="27" spans="2:11" x14ac:dyDescent="0.25">
      <c r="J27" s="80"/>
    </row>
    <row r="28" spans="2:11" x14ac:dyDescent="0.25">
      <c r="J28" s="80"/>
    </row>
    <row r="29" spans="2:11" x14ac:dyDescent="0.25">
      <c r="J29" s="80"/>
    </row>
    <row r="30" spans="2:11" x14ac:dyDescent="0.25">
      <c r="J30" s="80"/>
    </row>
    <row r="32" spans="2:11" x14ac:dyDescent="0.25">
      <c r="J32" s="80"/>
    </row>
    <row r="33" spans="10:10" x14ac:dyDescent="0.25">
      <c r="J33" s="80"/>
    </row>
    <row r="34" spans="10:10" x14ac:dyDescent="0.25">
      <c r="J34" s="80"/>
    </row>
    <row r="35" spans="10:10" x14ac:dyDescent="0.25">
      <c r="J35" s="80"/>
    </row>
    <row r="36" spans="10:10" x14ac:dyDescent="0.25">
      <c r="J36" s="80"/>
    </row>
    <row r="37" spans="10:10" x14ac:dyDescent="0.25">
      <c r="J37" s="80"/>
    </row>
    <row r="38" spans="10:10" x14ac:dyDescent="0.25">
      <c r="J38" s="80"/>
    </row>
    <row r="39" spans="10:10" x14ac:dyDescent="0.25">
      <c r="J39" s="80"/>
    </row>
    <row r="40" spans="10:10" x14ac:dyDescent="0.25">
      <c r="J40" s="80"/>
    </row>
    <row r="42" spans="10:10" x14ac:dyDescent="0.25">
      <c r="J42" s="80"/>
    </row>
    <row r="43" spans="10:10" x14ac:dyDescent="0.25">
      <c r="J43" s="80"/>
    </row>
    <row r="44" spans="10:10" x14ac:dyDescent="0.25">
      <c r="J44" s="80"/>
    </row>
    <row r="45" spans="10:10" x14ac:dyDescent="0.25">
      <c r="J45" s="80"/>
    </row>
    <row r="46" spans="10:10" x14ac:dyDescent="0.25">
      <c r="J46" s="80"/>
    </row>
    <row r="47" spans="10:10" x14ac:dyDescent="0.25">
      <c r="J47" s="80"/>
    </row>
    <row r="48" spans="10:10" x14ac:dyDescent="0.25">
      <c r="J48" s="80"/>
    </row>
    <row r="49" spans="10:11" x14ac:dyDescent="0.25">
      <c r="J49" s="80"/>
      <c r="K49" s="81"/>
    </row>
    <row r="50" spans="10:11" x14ac:dyDescent="0.25">
      <c r="J50" s="80"/>
    </row>
    <row r="51" spans="10:11" x14ac:dyDescent="0.25">
      <c r="J51" s="80"/>
    </row>
    <row r="52" spans="10:11" x14ac:dyDescent="0.25">
      <c r="J52" s="80"/>
    </row>
    <row r="53" spans="10:11" x14ac:dyDescent="0.25">
      <c r="J53" s="80"/>
    </row>
    <row r="55" spans="10:11" x14ac:dyDescent="0.25">
      <c r="J55" s="80"/>
    </row>
    <row r="56" spans="10:11" x14ac:dyDescent="0.25">
      <c r="J56" s="80"/>
    </row>
    <row r="57" spans="10:11" x14ac:dyDescent="0.25">
      <c r="J57" s="80"/>
    </row>
    <row r="58" spans="10:11" x14ac:dyDescent="0.25">
      <c r="J58" s="80"/>
    </row>
    <row r="59" spans="10:11" x14ac:dyDescent="0.25">
      <c r="J59" s="80"/>
    </row>
    <row r="60" spans="10:11" x14ac:dyDescent="0.25">
      <c r="J60" s="80"/>
    </row>
    <row r="61" spans="10:11" x14ac:dyDescent="0.25">
      <c r="J61" s="80"/>
    </row>
    <row r="62" spans="10:11" x14ac:dyDescent="0.25">
      <c r="J62" s="80"/>
    </row>
    <row r="63" spans="10:11" x14ac:dyDescent="0.25">
      <c r="J63" s="80"/>
    </row>
    <row r="65" spans="10:10" x14ac:dyDescent="0.25">
      <c r="J65" s="80"/>
    </row>
    <row r="66" spans="10:10" x14ac:dyDescent="0.25">
      <c r="J66" s="80"/>
    </row>
    <row r="67" spans="10:10" x14ac:dyDescent="0.25">
      <c r="J67" s="80"/>
    </row>
    <row r="68" spans="10:10" x14ac:dyDescent="0.25">
      <c r="J68" s="80"/>
    </row>
    <row r="69" spans="10:10" x14ac:dyDescent="0.25">
      <c r="J69" s="80"/>
    </row>
    <row r="70" spans="10:10" x14ac:dyDescent="0.25">
      <c r="J70" s="80"/>
    </row>
    <row r="71" spans="10:10" x14ac:dyDescent="0.25">
      <c r="J71" s="80"/>
    </row>
    <row r="72" spans="10:10" x14ac:dyDescent="0.25">
      <c r="J72" s="80"/>
    </row>
    <row r="73" spans="10:10" x14ac:dyDescent="0.25">
      <c r="J73" s="80"/>
    </row>
    <row r="74" spans="10:10" x14ac:dyDescent="0.25">
      <c r="J74" s="80"/>
    </row>
    <row r="75" spans="10:10" x14ac:dyDescent="0.25">
      <c r="J75" s="80"/>
    </row>
    <row r="77" spans="10:10" x14ac:dyDescent="0.25">
      <c r="J77" s="80"/>
    </row>
    <row r="78" spans="10:10" x14ac:dyDescent="0.25">
      <c r="J78" s="80"/>
    </row>
    <row r="79" spans="10:10" x14ac:dyDescent="0.25">
      <c r="J79" s="80"/>
    </row>
    <row r="80" spans="10:10" x14ac:dyDescent="0.25">
      <c r="J80" s="80"/>
    </row>
    <row r="81" spans="10:10" x14ac:dyDescent="0.25">
      <c r="J81" s="80"/>
    </row>
    <row r="82" spans="10:10" x14ac:dyDescent="0.25">
      <c r="J82" s="80"/>
    </row>
    <row r="83" spans="10:10" x14ac:dyDescent="0.25">
      <c r="J83" s="80"/>
    </row>
    <row r="84" spans="10:10" x14ac:dyDescent="0.25">
      <c r="J84" s="80"/>
    </row>
    <row r="85" spans="10:10" x14ac:dyDescent="0.25">
      <c r="J85" s="80"/>
    </row>
    <row r="86" spans="10:10" x14ac:dyDescent="0.25">
      <c r="J86" s="80"/>
    </row>
    <row r="88" spans="10:10" x14ac:dyDescent="0.25">
      <c r="J88" s="80"/>
    </row>
    <row r="89" spans="10:10" x14ac:dyDescent="0.25">
      <c r="J89" s="80"/>
    </row>
    <row r="91" spans="10:10" x14ac:dyDescent="0.25">
      <c r="J91" s="80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Plantilla Presupuesto</vt:lpstr>
      <vt:lpstr>Plantilla Ejecución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Elvidami</cp:lastModifiedBy>
  <cp:lastPrinted>2022-03-09T19:01:58Z</cp:lastPrinted>
  <dcterms:created xsi:type="dcterms:W3CDTF">2018-04-17T18:57:16Z</dcterms:created>
  <dcterms:modified xsi:type="dcterms:W3CDTF">2022-03-10T18:53:53Z</dcterms:modified>
</cp:coreProperties>
</file>